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customProperty2.bin" ContentType="application/vnd.openxmlformats-officedocument.spreadsheetml.customProperty"/>
  <Override PartName="/xl/comments2.xml" ContentType="application/vnd.openxmlformats-officedocument.spreadsheetml.comments+xml"/>
  <Override PartName="/xl/customProperty3.bin" ContentType="application/vnd.openxmlformats-officedocument.spreadsheetml.customProperty"/>
  <Override PartName="/xl/comments3.xml" ContentType="application/vnd.openxmlformats-officedocument.spreadsheetml.comments+xml"/>
  <Override PartName="/xl/customProperty4.bin" ContentType="application/vnd.openxmlformats-officedocument.spreadsheetml.customProperty"/>
  <Override PartName="/xl/comments4.xml" ContentType="application/vnd.openxmlformats-officedocument.spreadsheetml.comments+xml"/>
  <Override PartName="/xl/customProperty5.bin" ContentType="application/vnd.openxmlformats-officedocument.spreadsheetml.customProperty"/>
  <Override PartName="/xl/drawings/drawing2.xml" ContentType="application/vnd.openxmlformats-officedocument.drawing+xml"/>
  <Override PartName="/xl/comments5.xml" ContentType="application/vnd.openxmlformats-officedocument.spreadsheetml.comments+xml"/>
  <Override PartName="/xl/customProperty6.bin" ContentType="application/vnd.openxmlformats-officedocument.spreadsheetml.customProperty"/>
  <Override PartName="/xl/drawings/drawing3.xml" ContentType="application/vnd.openxmlformats-officedocument.drawing+xml"/>
  <Override PartName="/xl/customProperty7.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https://gasnetcz-my.sharepoint.com/personal/alena_bernatova_gasnet_cz/Documents/Plocha/PRÁCE - final/Kalkulačka - faktury/BI/web_kalkulacka/"/>
    </mc:Choice>
  </mc:AlternateContent>
  <xr:revisionPtr revIDLastSave="90" documentId="8_{F20905B8-E94F-4AD9-8FE0-BAE403353B36}" xr6:coauthVersionLast="47" xr6:coauthVersionMax="47" xr10:uidLastSave="{6C6A809B-0842-4EA5-8B20-92B31A80BBB5}"/>
  <bookViews>
    <workbookView xWindow="-108" yWindow="-108" windowWidth="23256" windowHeight="12576" tabRatio="880" xr2:uid="{00000000-000D-0000-FFFF-FFFF00000000}"/>
  </bookViews>
  <sheets>
    <sheet name="Výpočet ceny distribuce" sheetId="7" r:id="rId1"/>
    <sheet name="Výpočet výše měsíční kapacity C" sheetId="19" r:id="rId2"/>
    <sheet name="ovládací prvky" sheetId="20" state="hidden" r:id="rId3"/>
    <sheet name="Klasik, CNG, M3R, výrobce" sheetId="16" state="hidden" r:id="rId4"/>
    <sheet name="Špičkový odběr " sheetId="18" state="hidden" r:id="rId5"/>
    <sheet name="popis k nadlimitu" sheetId="17" state="hidden" r:id="rId6"/>
    <sheet name="Cenové rozhodnutí" sheetId="1" state="hidden" r:id="rId7"/>
  </sheets>
  <definedNames>
    <definedName name="_Hlk89075508" localSheetId="5">'popis k nadlimitu'!$C$3</definedName>
    <definedName name="_kl1">#REF!</definedName>
    <definedName name="_kl2">#REF!</definedName>
    <definedName name="_kl3">#REF!</definedName>
    <definedName name="_kl4">#REF!</definedName>
    <definedName name="_kl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4" i="7" l="1"/>
  <c r="E18" i="7"/>
  <c r="E17" i="7"/>
  <c r="E16" i="7"/>
  <c r="E15" i="7"/>
  <c r="E14" i="7"/>
  <c r="E13" i="7"/>
  <c r="E11" i="7"/>
  <c r="J83" i="1"/>
  <c r="I32" i="7"/>
  <c r="I29" i="7"/>
  <c r="I26" i="7"/>
  <c r="I23" i="7"/>
  <c r="I20" i="7"/>
  <c r="I15" i="7"/>
  <c r="I16" i="7"/>
  <c r="I17" i="7"/>
  <c r="I18" i="7"/>
  <c r="I14" i="7"/>
  <c r="F12" i="7"/>
  <c r="F11" i="7"/>
  <c r="J12" i="16"/>
  <c r="I12" i="7"/>
  <c r="C38" i="7" l="1"/>
  <c r="G38" i="7" s="1"/>
  <c r="O38" i="16"/>
  <c r="O37" i="16"/>
  <c r="P37" i="16" s="1"/>
  <c r="F33" i="16"/>
  <c r="J37" i="16"/>
  <c r="M37" i="16" s="1"/>
  <c r="I10" i="7"/>
  <c r="J13" i="16"/>
  <c r="I37" i="7" l="1"/>
  <c r="H11" i="16"/>
  <c r="J16" i="16"/>
  <c r="B7" i="19" l="1"/>
  <c r="G9" i="19" s="1"/>
  <c r="F10" i="16" l="1"/>
  <c r="H10" i="16"/>
  <c r="J14" i="16" l="1"/>
  <c r="J42" i="20" l="1"/>
  <c r="L42" i="20" s="1"/>
  <c r="J41" i="20"/>
  <c r="L41" i="20" s="1"/>
  <c r="J40" i="20"/>
  <c r="L40" i="20" s="1"/>
  <c r="J39" i="20"/>
  <c r="L39" i="20" s="1"/>
  <c r="J38" i="20"/>
  <c r="L38" i="20" s="1"/>
  <c r="A37" i="20"/>
  <c r="A13" i="20"/>
  <c r="D47" i="20" s="1"/>
  <c r="J13" i="18"/>
  <c r="J60" i="16"/>
  <c r="L5" i="16"/>
  <c r="L4" i="16"/>
  <c r="D48" i="20" l="1"/>
  <c r="D38" i="20"/>
  <c r="D49" i="20"/>
  <c r="D19" i="20"/>
  <c r="D39" i="20"/>
  <c r="D43" i="20"/>
  <c r="D22" i="20"/>
  <c r="D20" i="20"/>
  <c r="D14" i="20"/>
  <c r="D18" i="20"/>
  <c r="D44" i="20"/>
  <c r="D25" i="20"/>
  <c r="D17" i="20"/>
  <c r="D40" i="20"/>
  <c r="D45" i="20"/>
  <c r="D42" i="20"/>
  <c r="D24" i="20"/>
  <c r="D16" i="20"/>
  <c r="D46" i="20"/>
  <c r="D21" i="20"/>
  <c r="D23" i="20"/>
  <c r="D15" i="20"/>
  <c r="D41" i="20"/>
  <c r="K8" i="18"/>
  <c r="D50" i="20" l="1"/>
  <c r="F5" i="16"/>
  <c r="F19" i="16" l="1"/>
  <c r="F18" i="16"/>
  <c r="L61" i="16"/>
  <c r="L62" i="16"/>
  <c r="L63" i="16"/>
  <c r="L64" i="16"/>
  <c r="L65" i="16"/>
  <c r="L66" i="16"/>
  <c r="L67" i="16"/>
  <c r="L68" i="16"/>
  <c r="L69" i="16"/>
  <c r="L70" i="16"/>
  <c r="L71" i="16"/>
  <c r="L60" i="16"/>
  <c r="D9" i="18"/>
  <c r="D6" i="18"/>
  <c r="K11" i="18"/>
  <c r="K10" i="18" s="1"/>
  <c r="I5" i="18" l="1"/>
  <c r="I4" i="18"/>
  <c r="H5" i="18"/>
  <c r="H4" i="18"/>
  <c r="G5" i="18"/>
  <c r="G4" i="18"/>
  <c r="F5" i="18"/>
  <c r="F4" i="18"/>
  <c r="E5" i="18"/>
  <c r="E4" i="18"/>
  <c r="D5" i="18"/>
  <c r="D4" i="18"/>
  <c r="A16" i="18"/>
  <c r="A17" i="18"/>
  <c r="A18" i="18"/>
  <c r="A15" i="18"/>
  <c r="P19" i="18"/>
  <c r="O19" i="18"/>
  <c r="A19" i="18" l="1"/>
  <c r="G19" i="18" s="1"/>
  <c r="J15" i="20" l="1"/>
  <c r="L15" i="20" s="1"/>
  <c r="J14" i="20"/>
  <c r="L14" i="20" s="1"/>
  <c r="J18" i="20"/>
  <c r="L18" i="20" s="1"/>
  <c r="J17" i="20"/>
  <c r="L17" i="20" s="1"/>
  <c r="J16" i="20"/>
  <c r="L16" i="20" s="1"/>
  <c r="H5" i="16"/>
  <c r="W30" i="16" s="1"/>
  <c r="F6" i="16"/>
  <c r="F7" i="16" s="1"/>
  <c r="K5" i="16" l="1"/>
  <c r="J5" i="16" s="1"/>
  <c r="M4" i="16"/>
  <c r="F11" i="18"/>
  <c r="D11" i="18" s="1"/>
  <c r="G10" i="18"/>
  <c r="F10" i="18"/>
  <c r="E8" i="18"/>
  <c r="J18" i="18" s="1"/>
  <c r="G11" i="19"/>
  <c r="P21" i="19"/>
  <c r="P22" i="19" s="1"/>
  <c r="G18" i="18"/>
  <c r="G17" i="18"/>
  <c r="G16" i="18"/>
  <c r="G15" i="18"/>
  <c r="L8" i="18"/>
  <c r="AJ11" i="16" l="1"/>
  <c r="AD11" i="16"/>
  <c r="AA11" i="16"/>
  <c r="H59" i="7"/>
  <c r="J15" i="18"/>
  <c r="G59" i="7"/>
  <c r="J17" i="18"/>
  <c r="H10" i="18"/>
  <c r="D10" i="18" s="1"/>
  <c r="G20" i="19"/>
  <c r="J16" i="18"/>
  <c r="K6" i="18"/>
  <c r="K7" i="18"/>
  <c r="K9" i="18" s="1"/>
  <c r="E10" i="18"/>
  <c r="E16" i="18" s="1"/>
  <c r="C9" i="19"/>
  <c r="O20" i="19"/>
  <c r="C17" i="19"/>
  <c r="I17" i="19" s="1"/>
  <c r="J17" i="19" s="1"/>
  <c r="G19" i="19"/>
  <c r="C16" i="19"/>
  <c r="I16" i="19" s="1"/>
  <c r="J16" i="19" s="1"/>
  <c r="C15" i="19"/>
  <c r="I15" i="19" s="1"/>
  <c r="J15" i="19" s="1"/>
  <c r="G17" i="19"/>
  <c r="G18" i="19"/>
  <c r="O11" i="19"/>
  <c r="G15" i="19"/>
  <c r="C12" i="19"/>
  <c r="I12" i="19" s="1"/>
  <c r="J12" i="19" s="1"/>
  <c r="G14" i="19"/>
  <c r="C20" i="19"/>
  <c r="I20" i="19" s="1"/>
  <c r="J20" i="19" s="1"/>
  <c r="G10" i="19"/>
  <c r="C14" i="19"/>
  <c r="I14" i="19" s="1"/>
  <c r="J14" i="19" s="1"/>
  <c r="G16" i="19"/>
  <c r="C13" i="19"/>
  <c r="I13" i="19" s="1"/>
  <c r="J13" i="19" s="1"/>
  <c r="C11" i="19"/>
  <c r="I11" i="19" s="1"/>
  <c r="J11" i="19" s="1"/>
  <c r="G13" i="19"/>
  <c r="C19" i="19"/>
  <c r="I19" i="19" s="1"/>
  <c r="J19" i="19" s="1"/>
  <c r="C10" i="19"/>
  <c r="I10" i="19" s="1"/>
  <c r="J10" i="19" s="1"/>
  <c r="G12" i="19"/>
  <c r="C18" i="19"/>
  <c r="I18" i="19" s="1"/>
  <c r="J18" i="19" s="1"/>
  <c r="I9" i="19" l="1"/>
  <c r="J9" i="19" s="1"/>
  <c r="J22" i="19" s="1"/>
  <c r="F9" i="19"/>
  <c r="J19" i="18"/>
  <c r="E18" i="18"/>
  <c r="K18" i="18" s="1"/>
  <c r="D15" i="18"/>
  <c r="F15" i="18" s="1"/>
  <c r="H15" i="18" s="1"/>
  <c r="I15" i="18" s="1"/>
  <c r="D17" i="18"/>
  <c r="F17" i="18" s="1"/>
  <c r="H17" i="18" s="1"/>
  <c r="I17" i="18" s="1"/>
  <c r="D16" i="18"/>
  <c r="D18" i="18"/>
  <c r="F18" i="18" s="1"/>
  <c r="H18" i="18" s="1"/>
  <c r="I18" i="18" s="1"/>
  <c r="K16" i="18"/>
  <c r="E15" i="18"/>
  <c r="E17" i="18"/>
  <c r="K17" i="18" s="1"/>
  <c r="F19" i="19"/>
  <c r="N19" i="19" s="1"/>
  <c r="O19" i="19"/>
  <c r="F13" i="19"/>
  <c r="N13" i="19" s="1"/>
  <c r="O13" i="19"/>
  <c r="O14" i="19"/>
  <c r="F14" i="19"/>
  <c r="N14" i="19" s="1"/>
  <c r="O18" i="19"/>
  <c r="F18" i="19"/>
  <c r="N18" i="19" s="1"/>
  <c r="O17" i="19"/>
  <c r="F17" i="19"/>
  <c r="N17" i="19" s="1"/>
  <c r="F11" i="19"/>
  <c r="N11" i="19" s="1"/>
  <c r="O16" i="19"/>
  <c r="F16" i="19"/>
  <c r="N16" i="19" s="1"/>
  <c r="C21" i="19"/>
  <c r="F15" i="19"/>
  <c r="N15" i="19" s="1"/>
  <c r="O15" i="19"/>
  <c r="O9" i="19"/>
  <c r="N9" i="19"/>
  <c r="F12" i="19"/>
  <c r="N12" i="19" s="1"/>
  <c r="O12" i="19"/>
  <c r="O10" i="19"/>
  <c r="F10" i="19"/>
  <c r="N10" i="19" s="1"/>
  <c r="F20" i="19"/>
  <c r="N20" i="19" s="1"/>
  <c r="E19" i="18" l="1"/>
  <c r="G56" i="7" s="1"/>
  <c r="K15" i="18"/>
  <c r="L15" i="18" s="1"/>
  <c r="M15" i="18" s="1"/>
  <c r="L17" i="18"/>
  <c r="M17" i="18" s="1"/>
  <c r="L18" i="18"/>
  <c r="M18" i="18" s="1"/>
  <c r="F16" i="18"/>
  <c r="D19" i="18"/>
  <c r="K19" i="18" l="1"/>
  <c r="H56" i="7" s="1"/>
  <c r="C62" i="7" s="1"/>
  <c r="H16" i="18"/>
  <c r="F19" i="18"/>
  <c r="I16" i="18" l="1"/>
  <c r="H19" i="18"/>
  <c r="G55" i="7" l="1"/>
  <c r="I19" i="18"/>
  <c r="H55" i="7" s="1"/>
  <c r="H58" i="7" s="1"/>
  <c r="H60" i="7" s="1"/>
  <c r="L16" i="18"/>
  <c r="L19" i="18" l="1"/>
  <c r="M16" i="18"/>
  <c r="M19" i="18" s="1"/>
  <c r="O30" i="16" l="1"/>
  <c r="O29" i="16"/>
  <c r="O28" i="16"/>
  <c r="O27" i="16"/>
  <c r="O26" i="16"/>
  <c r="N26" i="16"/>
  <c r="N27" i="16"/>
  <c r="F78" i="16" l="1"/>
  <c r="E78" i="16"/>
  <c r="F76" i="16" l="1"/>
  <c r="E76" i="16"/>
  <c r="N30" i="16" l="1"/>
  <c r="I78" i="16" s="1"/>
  <c r="N29" i="16"/>
  <c r="H78" i="16" s="1"/>
  <c r="N28" i="16"/>
  <c r="G78" i="16" s="1"/>
  <c r="J30" i="16"/>
  <c r="J29" i="16"/>
  <c r="J28" i="16"/>
  <c r="J27" i="16"/>
  <c r="J26" i="16"/>
  <c r="J17" i="16"/>
  <c r="J18" i="16"/>
  <c r="J19" i="16"/>
  <c r="J20" i="16"/>
  <c r="J11" i="16"/>
  <c r="G76" i="16" l="1"/>
  <c r="H76" i="16"/>
  <c r="I76" i="16"/>
  <c r="J71" i="16"/>
  <c r="K71" i="16" s="1"/>
  <c r="F71" i="16"/>
  <c r="J70" i="16"/>
  <c r="K70" i="16" s="1"/>
  <c r="F70" i="16"/>
  <c r="J69" i="16"/>
  <c r="F69" i="16"/>
  <c r="J68" i="16"/>
  <c r="F68" i="16"/>
  <c r="J67" i="16"/>
  <c r="K67" i="16" s="1"/>
  <c r="F67" i="16"/>
  <c r="J66" i="16"/>
  <c r="K66" i="16" s="1"/>
  <c r="F66" i="16"/>
  <c r="J65" i="16"/>
  <c r="F65" i="16"/>
  <c r="J64" i="16"/>
  <c r="K64" i="16" s="1"/>
  <c r="F64" i="16"/>
  <c r="J63" i="16"/>
  <c r="F63" i="16"/>
  <c r="J62" i="16"/>
  <c r="K62" i="16" s="1"/>
  <c r="F62" i="16"/>
  <c r="J61" i="16"/>
  <c r="F61" i="16"/>
  <c r="K61" i="16" s="1"/>
  <c r="K60" i="16"/>
  <c r="F60" i="16"/>
  <c r="I77" i="16" s="1"/>
  <c r="J59" i="16"/>
  <c r="E54" i="16"/>
  <c r="E53" i="16"/>
  <c r="F53" i="16" s="1"/>
  <c r="F51" i="16"/>
  <c r="J50" i="16"/>
  <c r="K50" i="16" s="1"/>
  <c r="F50" i="16"/>
  <c r="J49" i="16"/>
  <c r="K49" i="16" s="1"/>
  <c r="F49" i="16"/>
  <c r="K48" i="16"/>
  <c r="F48" i="16"/>
  <c r="K47" i="16"/>
  <c r="F47" i="16"/>
  <c r="M46" i="16"/>
  <c r="K46" i="16"/>
  <c r="H46" i="16"/>
  <c r="F46" i="16"/>
  <c r="M45" i="16"/>
  <c r="K45" i="16"/>
  <c r="H45" i="16"/>
  <c r="F45" i="16"/>
  <c r="AB44" i="16"/>
  <c r="L38" i="16"/>
  <c r="L37" i="16"/>
  <c r="H37" i="16"/>
  <c r="F29" i="16" s="1"/>
  <c r="F34" i="16" s="1"/>
  <c r="P31" i="16"/>
  <c r="H30" i="16"/>
  <c r="H29" i="16"/>
  <c r="H28" i="16"/>
  <c r="H27" i="16"/>
  <c r="H26" i="16"/>
  <c r="P19" i="16"/>
  <c r="G19" i="16"/>
  <c r="P18" i="16"/>
  <c r="B18" i="16"/>
  <c r="B19" i="16" s="1"/>
  <c r="B20" i="16" s="1"/>
  <c r="H15" i="16"/>
  <c r="H13" i="16"/>
  <c r="H12" i="16"/>
  <c r="J32" i="16"/>
  <c r="L83" i="1"/>
  <c r="O83" i="1"/>
  <c r="P83" i="1"/>
  <c r="F13" i="7"/>
  <c r="C59" i="7"/>
  <c r="N76" i="16" l="1"/>
  <c r="AG32" i="16"/>
  <c r="AJ32" i="16"/>
  <c r="AD32" i="16"/>
  <c r="AA32" i="16"/>
  <c r="X32" i="16"/>
  <c r="K68" i="16"/>
  <c r="G77" i="16"/>
  <c r="K65" i="16"/>
  <c r="K69" i="16"/>
  <c r="K63" i="16"/>
  <c r="F77" i="16"/>
  <c r="E77" i="16"/>
  <c r="H77" i="16"/>
  <c r="G7" i="16"/>
  <c r="F9" i="16" s="1"/>
  <c r="E12" i="7" s="1"/>
  <c r="AK32" i="16"/>
  <c r="AH32" i="16"/>
  <c r="AE32" i="16"/>
  <c r="AB32" i="16"/>
  <c r="F36" i="16"/>
  <c r="J38" i="16" s="1"/>
  <c r="F35" i="16"/>
  <c r="AK11" i="16"/>
  <c r="AG11" i="16"/>
  <c r="AH11" i="16" s="1"/>
  <c r="AE11" i="16"/>
  <c r="AB11" i="16"/>
  <c r="F30" i="16"/>
  <c r="F31" i="16" s="1"/>
  <c r="F32" i="16" s="1"/>
  <c r="P20" i="16"/>
  <c r="P29" i="16"/>
  <c r="K38" i="16"/>
  <c r="P21" i="16"/>
  <c r="P26" i="16"/>
  <c r="C42" i="7" s="1"/>
  <c r="F8" i="16"/>
  <c r="P16" i="16"/>
  <c r="P22" i="16"/>
  <c r="P23" i="16"/>
  <c r="P24" i="16"/>
  <c r="P25" i="16"/>
  <c r="F72" i="16"/>
  <c r="P17" i="16"/>
  <c r="P27" i="16"/>
  <c r="P30" i="16"/>
  <c r="F14" i="16"/>
  <c r="F20" i="16" s="1"/>
  <c r="P28" i="16"/>
  <c r="C41" i="7" l="1"/>
  <c r="P38" i="16"/>
  <c r="Y32" i="16"/>
  <c r="H38" i="7" s="1"/>
  <c r="G81" i="16"/>
  <c r="G79" i="16" s="1"/>
  <c r="Y11" i="16"/>
  <c r="H10" i="7" s="1"/>
  <c r="N16" i="16"/>
  <c r="N21" i="16"/>
  <c r="N22" i="16"/>
  <c r="F81" i="16"/>
  <c r="F79" i="16" s="1"/>
  <c r="N19" i="16"/>
  <c r="N24" i="16"/>
  <c r="E81" i="16"/>
  <c r="E80" i="16" s="1"/>
  <c r="N20" i="16"/>
  <c r="I81" i="16"/>
  <c r="I79" i="16" s="1"/>
  <c r="N25" i="16"/>
  <c r="N18" i="16"/>
  <c r="N23" i="16"/>
  <c r="H81" i="16"/>
  <c r="H79" i="16" s="1"/>
  <c r="N17" i="16"/>
  <c r="T27" i="16"/>
  <c r="E83" i="16"/>
  <c r="E82" i="16" s="1"/>
  <c r="E19" i="7" s="1"/>
  <c r="Q26" i="16"/>
  <c r="R29" i="16"/>
  <c r="V26" i="16"/>
  <c r="F19" i="7" s="1"/>
  <c r="T26" i="16"/>
  <c r="V28" i="16"/>
  <c r="F25" i="7" s="1"/>
  <c r="R28" i="16"/>
  <c r="R30" i="16"/>
  <c r="O20" i="16"/>
  <c r="O16" i="16"/>
  <c r="F83" i="16"/>
  <c r="F82" i="16" s="1"/>
  <c r="E22" i="7" s="1"/>
  <c r="G83" i="16"/>
  <c r="G82" i="16" s="1"/>
  <c r="E25" i="7" s="1"/>
  <c r="O19" i="16"/>
  <c r="O25" i="16"/>
  <c r="O17" i="16"/>
  <c r="H83" i="16"/>
  <c r="H82" i="16" s="1"/>
  <c r="E28" i="7" s="1"/>
  <c r="O24" i="16"/>
  <c r="I83" i="16"/>
  <c r="I82" i="16" s="1"/>
  <c r="E31" i="7" s="1"/>
  <c r="O23" i="16"/>
  <c r="O18" i="16"/>
  <c r="O21" i="16"/>
  <c r="O22" i="16"/>
  <c r="R26" i="16"/>
  <c r="R27" i="16"/>
  <c r="S30" i="16"/>
  <c r="S29" i="16"/>
  <c r="Q28" i="16"/>
  <c r="T30" i="16"/>
  <c r="T28" i="16"/>
  <c r="U29" i="16"/>
  <c r="V30" i="16"/>
  <c r="F31" i="7" s="1"/>
  <c r="S28" i="16"/>
  <c r="U26" i="16"/>
  <c r="Q29" i="16"/>
  <c r="Q30" i="16"/>
  <c r="V27" i="16"/>
  <c r="F22" i="7" s="1"/>
  <c r="Q27" i="16"/>
  <c r="U27" i="16"/>
  <c r="U28" i="16"/>
  <c r="V29" i="16"/>
  <c r="F28" i="7" s="1"/>
  <c r="T29" i="16"/>
  <c r="U30" i="16"/>
  <c r="S26" i="16"/>
  <c r="S27" i="16"/>
  <c r="X11" i="16"/>
  <c r="G10" i="7" s="1"/>
  <c r="M38" i="16"/>
  <c r="F15" i="16"/>
  <c r="F16" i="16" s="1"/>
  <c r="F17" i="16" s="1"/>
  <c r="M39" i="16" l="1"/>
  <c r="M40" i="16" s="1"/>
  <c r="I6" i="7"/>
  <c r="AM32" i="16"/>
  <c r="E79" i="16"/>
  <c r="H80" i="16"/>
  <c r="G80" i="16"/>
  <c r="I80" i="16"/>
  <c r="F80" i="16"/>
  <c r="AM11" i="16"/>
  <c r="W29" i="16"/>
  <c r="W26" i="16"/>
  <c r="W27" i="16"/>
  <c r="W28" i="16"/>
  <c r="F22" i="16"/>
  <c r="C34" i="7" s="1"/>
  <c r="F21" i="16"/>
  <c r="J31" i="16" l="1"/>
  <c r="D26" i="20" l="1"/>
  <c r="H14" i="16" l="1"/>
  <c r="H16" i="16" s="1"/>
  <c r="K21" i="16"/>
  <c r="L21" i="16" s="1"/>
  <c r="AJ21" i="16" s="1"/>
  <c r="K15" i="16"/>
  <c r="L15" i="16" s="1"/>
  <c r="K24" i="16"/>
  <c r="L24" i="16" s="1"/>
  <c r="AA24" i="16" s="1"/>
  <c r="AB24" i="16" s="1"/>
  <c r="K22" i="16"/>
  <c r="L22" i="16" s="1"/>
  <c r="AD22" i="16" s="1"/>
  <c r="K23" i="16"/>
  <c r="L23" i="16" s="1"/>
  <c r="K25" i="16"/>
  <c r="L25" i="16" s="1"/>
  <c r="K17" i="16"/>
  <c r="L17" i="16" s="1"/>
  <c r="AD17" i="16" s="1"/>
  <c r="K19" i="16"/>
  <c r="L19" i="16" s="1"/>
  <c r="K28" i="16"/>
  <c r="L28" i="16" s="1"/>
  <c r="K18" i="16"/>
  <c r="L18" i="16" s="1"/>
  <c r="K26" i="16"/>
  <c r="L26" i="16" s="1"/>
  <c r="K30" i="16"/>
  <c r="L30" i="16" s="1"/>
  <c r="K16" i="16"/>
  <c r="L16" i="16" s="1"/>
  <c r="AG16" i="16" s="1"/>
  <c r="AH16" i="16" s="1"/>
  <c r="K20" i="16"/>
  <c r="L20" i="16" s="1"/>
  <c r="K27" i="16"/>
  <c r="L27" i="16" s="1"/>
  <c r="AJ27" i="16" s="1"/>
  <c r="K29" i="16"/>
  <c r="L29" i="16" s="1"/>
  <c r="K31" i="16"/>
  <c r="K12" i="16"/>
  <c r="K13" i="16"/>
  <c r="L13" i="16" s="1"/>
  <c r="AA13" i="16" s="1"/>
  <c r="AB13" i="16" s="1"/>
  <c r="AE17" i="16" l="1"/>
  <c r="AE22" i="16"/>
  <c r="AB45" i="16"/>
  <c r="K14" i="16"/>
  <c r="L14" i="16" s="1"/>
  <c r="M31" i="16"/>
  <c r="AF31" i="16" s="1"/>
  <c r="AH31" i="16" s="1"/>
  <c r="AG25" i="16"/>
  <c r="AH25" i="16" s="1"/>
  <c r="AJ25" i="16"/>
  <c r="AK25" i="16" s="1"/>
  <c r="AJ24" i="16"/>
  <c r="AK24" i="16" s="1"/>
  <c r="AD23" i="16"/>
  <c r="AJ23" i="16"/>
  <c r="AK23" i="16" s="1"/>
  <c r="AA23" i="16"/>
  <c r="AB23" i="16" s="1"/>
  <c r="AG23" i="16"/>
  <c r="AH23" i="16" s="1"/>
  <c r="AG19" i="16"/>
  <c r="AH19" i="16" s="1"/>
  <c r="AJ19" i="16"/>
  <c r="AK19" i="16" s="1"/>
  <c r="AA25" i="16"/>
  <c r="AB25" i="16" s="1"/>
  <c r="AD25" i="16"/>
  <c r="AA28" i="16"/>
  <c r="AB28" i="16" s="1"/>
  <c r="AJ28" i="16"/>
  <c r="AG28" i="16"/>
  <c r="AH28" i="16" s="1"/>
  <c r="AD28" i="16"/>
  <c r="AA29" i="16"/>
  <c r="AB29" i="16" s="1"/>
  <c r="AD29" i="16"/>
  <c r="AG29" i="16"/>
  <c r="AH29" i="16" s="1"/>
  <c r="AJ29" i="16"/>
  <c r="AD18" i="16"/>
  <c r="AA18" i="16"/>
  <c r="AB18" i="16" s="1"/>
  <c r="AJ18" i="16"/>
  <c r="AG18" i="16"/>
  <c r="AH18" i="16" s="1"/>
  <c r="AK27" i="16"/>
  <c r="AA20" i="16"/>
  <c r="AB20" i="16" s="1"/>
  <c r="AG20" i="16"/>
  <c r="AH20" i="16" s="1"/>
  <c r="AD20" i="16"/>
  <c r="AJ20" i="16"/>
  <c r="AA30" i="16"/>
  <c r="AB30" i="16" s="1"/>
  <c r="AD30" i="16"/>
  <c r="AE30" i="16" s="1"/>
  <c r="AG30" i="16"/>
  <c r="AH30" i="16" s="1"/>
  <c r="AJ30" i="16"/>
  <c r="AK21" i="16"/>
  <c r="AA26" i="16"/>
  <c r="AB26" i="16" s="1"/>
  <c r="AJ26" i="16"/>
  <c r="AD26" i="16"/>
  <c r="AG26" i="16"/>
  <c r="AH26" i="16" s="1"/>
  <c r="AD15" i="16"/>
  <c r="AJ15" i="16"/>
  <c r="AG15" i="16"/>
  <c r="AH15" i="16" s="1"/>
  <c r="AA15" i="16"/>
  <c r="AB15" i="16" s="1"/>
  <c r="AA27" i="16"/>
  <c r="AB27" i="16" s="1"/>
  <c r="AG21" i="16"/>
  <c r="AH21" i="16" s="1"/>
  <c r="AD21" i="16"/>
  <c r="AJ16" i="16"/>
  <c r="AJ22" i="16"/>
  <c r="AG22" i="16"/>
  <c r="AH22" i="16" s="1"/>
  <c r="AD24" i="16"/>
  <c r="AD19" i="16"/>
  <c r="AA16" i="16"/>
  <c r="AB16" i="16" s="1"/>
  <c r="AG17" i="16"/>
  <c r="AH17" i="16" s="1"/>
  <c r="AD27" i="16"/>
  <c r="AD13" i="16"/>
  <c r="AA22" i="16"/>
  <c r="AB22" i="16" s="1"/>
  <c r="AD16" i="16"/>
  <c r="L12" i="16"/>
  <c r="AG27" i="16"/>
  <c r="AH27" i="16" s="1"/>
  <c r="AG13" i="16"/>
  <c r="AH13" i="16" s="1"/>
  <c r="AJ13" i="16"/>
  <c r="AJ17" i="16"/>
  <c r="AG24" i="16"/>
  <c r="AH24" i="16" s="1"/>
  <c r="AA19" i="16"/>
  <c r="AB19" i="16" s="1"/>
  <c r="AA17" i="16"/>
  <c r="AB17" i="16" s="1"/>
  <c r="AA21" i="16"/>
  <c r="AB21" i="16" s="1"/>
  <c r="Y17" i="16" l="1"/>
  <c r="H15" i="7" s="1"/>
  <c r="X22" i="16"/>
  <c r="Y22" i="16"/>
  <c r="X17" i="16"/>
  <c r="G15" i="7" s="1"/>
  <c r="AE28" i="16"/>
  <c r="X28" i="16"/>
  <c r="G25" i="7" s="1"/>
  <c r="AE24" i="16"/>
  <c r="Y24" i="16" s="1"/>
  <c r="AM24" i="16" s="1"/>
  <c r="X24" i="16"/>
  <c r="AE15" i="16"/>
  <c r="Y15" i="16" s="1"/>
  <c r="X15" i="16"/>
  <c r="AE13" i="16"/>
  <c r="Y13" i="16" s="1"/>
  <c r="H12" i="7" s="1"/>
  <c r="X13" i="16"/>
  <c r="G12" i="7" s="1"/>
  <c r="AE29" i="16"/>
  <c r="Y29" i="16" s="1"/>
  <c r="H28" i="7" s="1"/>
  <c r="X29" i="16"/>
  <c r="G28" i="7" s="1"/>
  <c r="AE16" i="16"/>
  <c r="X16" i="16"/>
  <c r="G14" i="7" s="1"/>
  <c r="AE27" i="16"/>
  <c r="Y27" i="16" s="1"/>
  <c r="H22" i="7" s="1"/>
  <c r="X27" i="16"/>
  <c r="G22" i="7" s="1"/>
  <c r="AE21" i="16"/>
  <c r="Y21" i="16" s="1"/>
  <c r="AM21" i="16" s="1"/>
  <c r="X21" i="16"/>
  <c r="AE26" i="16"/>
  <c r="Y26" i="16" s="1"/>
  <c r="H19" i="7" s="1"/>
  <c r="X26" i="16"/>
  <c r="G19" i="7" s="1"/>
  <c r="AE18" i="16"/>
  <c r="X18" i="16"/>
  <c r="G16" i="7" s="1"/>
  <c r="AE23" i="16"/>
  <c r="Y23" i="16" s="1"/>
  <c r="AM23" i="16" s="1"/>
  <c r="X23" i="16"/>
  <c r="AE25" i="16"/>
  <c r="Y25" i="16" s="1"/>
  <c r="AM25" i="16" s="1"/>
  <c r="X25" i="16"/>
  <c r="AE19" i="16"/>
  <c r="Y19" i="16" s="1"/>
  <c r="H17" i="7" s="1"/>
  <c r="X19" i="16"/>
  <c r="G17" i="7" s="1"/>
  <c r="AE20" i="16"/>
  <c r="X20" i="16"/>
  <c r="G18" i="7" s="1"/>
  <c r="Y30" i="16"/>
  <c r="H31" i="7" s="1"/>
  <c r="Y16" i="16"/>
  <c r="H14" i="7" s="1"/>
  <c r="Y18" i="16"/>
  <c r="H16" i="7" s="1"/>
  <c r="Y28" i="16"/>
  <c r="H25" i="7" s="1"/>
  <c r="Y20" i="16"/>
  <c r="H18" i="7" s="1"/>
  <c r="Z31" i="16"/>
  <c r="AB31" i="16" s="1"/>
  <c r="AC31" i="16"/>
  <c r="AE31" i="16" s="1"/>
  <c r="AI31" i="16"/>
  <c r="AK31" i="16" s="1"/>
  <c r="AK29" i="16"/>
  <c r="AA12" i="16"/>
  <c r="AG12" i="16"/>
  <c r="AD12" i="16"/>
  <c r="AJ12" i="16"/>
  <c r="AJ14" i="16" s="1"/>
  <c r="AK14" i="16" s="1"/>
  <c r="AK15" i="16"/>
  <c r="AK30" i="16"/>
  <c r="X30" i="16"/>
  <c r="G31" i="7" s="1"/>
  <c r="AK16" i="16"/>
  <c r="AK17" i="16"/>
  <c r="AK18" i="16"/>
  <c r="AK13" i="16"/>
  <c r="AK26" i="16"/>
  <c r="AK20" i="16"/>
  <c r="AK28" i="16"/>
  <c r="AK22" i="16"/>
  <c r="AM22" i="16" s="1"/>
  <c r="X12" i="16" l="1"/>
  <c r="G11" i="7" s="1"/>
  <c r="AM19" i="16"/>
  <c r="AM15" i="16"/>
  <c r="AE12" i="16"/>
  <c r="AD14" i="16"/>
  <c r="AH12" i="16"/>
  <c r="AG14" i="16"/>
  <c r="AH14" i="16" s="1"/>
  <c r="AB12" i="16"/>
  <c r="AA14" i="16"/>
  <c r="AB14" i="16" s="1"/>
  <c r="W31" i="16"/>
  <c r="G34" i="7" s="1"/>
  <c r="Y31" i="16"/>
  <c r="H34" i="7" s="1"/>
  <c r="C43" i="7" s="1"/>
  <c r="AM27" i="16"/>
  <c r="AM13" i="16"/>
  <c r="AM28" i="16"/>
  <c r="AM16" i="16"/>
  <c r="AK12" i="16"/>
  <c r="AM18" i="16"/>
  <c r="AM20" i="16"/>
  <c r="AM30" i="16"/>
  <c r="AM17" i="16"/>
  <c r="AM26" i="16"/>
  <c r="AM29" i="16"/>
  <c r="X14" i="16" l="1"/>
  <c r="G13" i="7" s="1"/>
  <c r="Y12" i="16"/>
  <c r="AB33" i="16"/>
  <c r="AB34" i="16" s="1"/>
  <c r="AH33" i="16"/>
  <c r="AH34" i="16" s="1"/>
  <c r="AE14" i="16"/>
  <c r="AE33" i="16" s="1"/>
  <c r="AE34" i="16" s="1"/>
  <c r="AM31" i="16"/>
  <c r="AK33" i="16"/>
  <c r="AM12" i="16" l="1"/>
  <c r="H11" i="7"/>
  <c r="Y14" i="16"/>
  <c r="AK34" i="16"/>
  <c r="W34" i="16" s="1"/>
  <c r="W33" i="16"/>
  <c r="H13" i="7" l="1"/>
  <c r="H37" i="7" s="1"/>
  <c r="H39" i="7" s="1"/>
  <c r="AM14"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C34" authorId="0" shapeId="0" xr:uid="{4494BFA2-D252-46B3-AED5-DB57171B027A}">
      <text>
        <r>
          <rPr>
            <sz val="9"/>
            <color indexed="81"/>
            <rFont val="Tahoma"/>
            <family val="2"/>
            <charset val="238"/>
          </rPr>
          <t>nadlimitní
překročení
rezervované
kapacity (m³)</t>
        </r>
      </text>
    </comment>
    <comment ref="A35" authorId="0" shapeId="0" xr:uid="{74855510-F758-41ED-88AA-13E7314CB429}">
      <text>
        <r>
          <rPr>
            <sz val="9"/>
            <color indexed="81"/>
            <rFont val="Tahoma"/>
            <family val="2"/>
            <charset val="238"/>
          </rPr>
          <t>datum překročení</t>
        </r>
      </text>
    </comment>
    <comment ref="C56" authorId="0" shapeId="0" xr:uid="{98039E61-4137-4D18-BB11-135F41ACE66E}">
      <text>
        <r>
          <rPr>
            <sz val="9"/>
            <color indexed="81"/>
            <rFont val="Tahoma"/>
            <family val="2"/>
            <charset val="238"/>
          </rPr>
          <t>nadlimitní
překročení
rezervované
kapacity (m³)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F3" authorId="0" shapeId="0" xr:uid="{57ECCA95-3613-4BD8-8A7C-7C2C4D0D9F3E}">
      <text>
        <r>
          <rPr>
            <sz val="8"/>
            <color indexed="81"/>
            <rFont val="Tahoma"/>
            <family val="2"/>
            <charset val="238"/>
          </rPr>
          <t xml:space="preserve">MO za cenu VOSO je logaritmický MO, dříve též nazývaný MO z dálkovodu, než zrušili pravidlo, že logar sazbu musí mít každé OM napojené na dálkovod a navázali logar sazbu na periodicitu fakturace měsíční.
Těch sazeb bylo v průběhu časů hodně, aktuální používaná je GW3ML___MD. </t>
        </r>
        <r>
          <rPr>
            <b/>
            <sz val="8"/>
            <color indexed="81"/>
            <rFont val="Tahoma"/>
            <family val="2"/>
            <charset val="238"/>
          </rPr>
          <t xml:space="preserve">Kapacita se u nich počítá jako u VOSO s měřením C, ceny jsou jako VOSO, ale evidovaní jsou pod MO a pokud mají profilové měření, nějak se to transformuje (nevím jak) a v IS-U se to chová jako normální odečty typu C. </t>
        </r>
        <r>
          <rPr>
            <sz val="8"/>
            <color indexed="81"/>
            <rFont val="Tahoma"/>
            <family val="2"/>
            <charset val="238"/>
          </rPr>
          <t xml:space="preserve">
</t>
        </r>
        <r>
          <rPr>
            <i/>
            <sz val="8"/>
            <color indexed="81"/>
            <rFont val="Tahoma"/>
            <family val="2"/>
            <charset val="238"/>
          </rPr>
          <t>Rozdíl mezi běžným měsíčním MO a těmito logar MO je v tom, že OM mají měsíční odečtovou jednotku, takže jsou každý měsíc fakturováni periodickou fakturou, není to MIFA.</t>
        </r>
        <r>
          <rPr>
            <sz val="9"/>
            <color indexed="81"/>
            <rFont val="Tahoma"/>
            <family val="2"/>
            <charset val="238"/>
          </rPr>
          <t xml:space="preserve">
</t>
        </r>
      </text>
    </comment>
    <comment ref="N3" authorId="0" shapeId="0" xr:uid="{2BEECE72-8765-4FBB-BD95-D48492C59DBD}">
      <text>
        <r>
          <rPr>
            <sz val="8"/>
            <color indexed="81"/>
            <rFont val="Tahoma"/>
            <family val="2"/>
            <charset val="238"/>
          </rPr>
          <t xml:space="preserve">VOSO za cenu MO počítáme kapacitu podobně jako u MO v nejvyšším pásmu, tj. z roční spotřeby/115. Místo ZMOROKU používáme součet spotřeb m3 (GHQSPNM3A) za předchozí kalendářní rok. </t>
        </r>
      </text>
    </comment>
    <comment ref="I22" authorId="0" shapeId="0" xr:uid="{59FEFF51-D970-4088-BEFE-FDE39551126B}">
      <text>
        <r>
          <rPr>
            <sz val="9"/>
            <color indexed="81"/>
            <rFont val="Tahoma"/>
            <family val="2"/>
            <charset val="238"/>
          </rPr>
          <t>maximum za předch.rok</t>
        </r>
      </text>
    </comment>
    <comment ref="J22" authorId="0" shapeId="0" xr:uid="{C309E6BB-2281-4F32-826A-E6FA130E1EEE}">
      <text>
        <r>
          <rPr>
            <sz val="8"/>
            <color indexed="81"/>
            <rFont val="Tahoma"/>
            <family val="2"/>
            <charset val="238"/>
          </rPr>
          <t>vypočíst z hodnot operandu GHQSPNM3 (Spotřeba OM v nm3 (měření C)). Pokud není historie bere se hodnota operandu G0QSCMANM3 a nic se nevypočítává.</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H14" authorId="0" shapeId="0" xr:uid="{BD7CCEA5-89E6-4930-B11D-EFCDFD27FE04}">
      <text>
        <r>
          <rPr>
            <b/>
            <sz val="9"/>
            <color indexed="81"/>
            <rFont val="Tahoma"/>
            <family val="2"/>
            <charset val="238"/>
          </rPr>
          <t>Bernátová Alena:</t>
        </r>
        <r>
          <rPr>
            <sz val="9"/>
            <color indexed="81"/>
            <rFont val="Tahoma"/>
            <family val="2"/>
            <charset val="238"/>
          </rPr>
          <t xml:space="preserve">
vyhodnotí se i pro prázdnou hodnotu, tj. při změně výběru z nadlimitu "ne" na "ano", protože je nutné vybrat správnou možnosti, v poli nahoře bude prázdná hodnota a nabízené hodnoty se plní až od pole č.2 dle výběru sítě
</t>
        </r>
      </text>
    </comment>
    <comment ref="H38" authorId="0" shapeId="0" xr:uid="{9A8A912C-48F1-4213-B7EC-7A54ADF3DC04}">
      <text>
        <r>
          <rPr>
            <b/>
            <sz val="9"/>
            <color indexed="81"/>
            <rFont val="Tahoma"/>
            <family val="2"/>
            <charset val="238"/>
          </rPr>
          <t>Bernátová Alena:</t>
        </r>
        <r>
          <rPr>
            <sz val="9"/>
            <color indexed="81"/>
            <rFont val="Tahoma"/>
            <family val="2"/>
            <charset val="238"/>
          </rPr>
          <t xml:space="preserve">
vyhodnotí se i pro prázdnou hodnotu, tj. při změně výběru z nadlimitu "ne" na "ano", protože je nutné vybrat správnou možnosti, v poli nahoře bude prázdná hodnota a nabízené hodnoty se plní až od pole č.2 dle výběru sítě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Bernátová Alena</author>
    <author>Autor</author>
  </authors>
  <commentList>
    <comment ref="J4" authorId="0" shapeId="0" xr:uid="{A24FD31B-19DC-4305-8116-2E157667DE45}">
      <text>
        <r>
          <rPr>
            <b/>
            <sz val="9"/>
            <color indexed="81"/>
            <rFont val="Tahoma"/>
            <family val="2"/>
            <charset val="238"/>
          </rPr>
          <t xml:space="preserve">Vyhodnocení nadlimitu:
- pro fakturaci </t>
        </r>
        <r>
          <rPr>
            <sz val="9"/>
            <color indexed="81"/>
            <rFont val="Tahoma"/>
            <family val="2"/>
            <charset val="238"/>
          </rPr>
          <t>se pro vyhodnocení nadlimitu u komodity bere součet předchozích fakturovaných spotřeb v daném roce tj. mimo poslední spotřeby, která je fakturována.</t>
        </r>
        <r>
          <rPr>
            <b/>
            <sz val="9"/>
            <color indexed="81"/>
            <rFont val="Tahoma"/>
            <family val="2"/>
            <charset val="238"/>
          </rPr>
          <t xml:space="preserve"> 
- pro plány záloh </t>
        </r>
        <r>
          <rPr>
            <sz val="9"/>
            <color indexed="81"/>
            <rFont val="Tahoma"/>
            <family val="2"/>
            <charset val="238"/>
          </rPr>
          <t xml:space="preserve">se pro vyhodnocení nadlimitu u komodity bere součet všech fakturovaných spotřeb v daném roce VČETNĚ dané faktury, které je PZ součástí. 
- </t>
        </r>
        <r>
          <rPr>
            <b/>
            <sz val="9"/>
            <color indexed="81"/>
            <rFont val="Tahoma"/>
            <family val="2"/>
            <charset val="238"/>
          </rPr>
          <t>pro agregované zálohy</t>
        </r>
        <r>
          <rPr>
            <sz val="9"/>
            <color indexed="81"/>
            <rFont val="Tahoma"/>
            <family val="2"/>
            <charset val="238"/>
          </rPr>
          <t xml:space="preserve"> se vyhodnocení nadlimitu u komodity postupuje stejně jako u plánu záloh. 
</t>
        </r>
        <r>
          <rPr>
            <b/>
            <sz val="9"/>
            <color indexed="81"/>
            <rFont val="Tahoma"/>
            <family val="2"/>
            <charset val="238"/>
          </rPr>
          <t>Specifika v ZD:</t>
        </r>
        <r>
          <rPr>
            <sz val="9"/>
            <color indexed="81"/>
            <rFont val="Tahoma"/>
            <family val="2"/>
            <charset val="238"/>
          </rPr>
          <t xml:space="preserve">
- celková hodnota nadlimitu komodity uvedena v ZD na řádku ZLIMSP  nadlimitní spotřebaU AZ i když je v ZD 
- detail vyhodnocení nadlimitu kapacitu je uveden v ZD: Přehled dokladu, řádek ZLOG00 a klik na číslo řádku, Záložka Doplňková data
</t>
        </r>
        <r>
          <rPr>
            <b/>
            <sz val="9"/>
            <color indexed="81"/>
            <rFont val="Tahoma"/>
            <family val="2"/>
            <charset val="238"/>
          </rPr>
          <t xml:space="preserve">
</t>
        </r>
      </text>
    </comment>
    <comment ref="K5" authorId="0" shapeId="0" xr:uid="{DD4CF286-8B39-486B-B29A-4481C7E96B70}">
      <text>
        <r>
          <rPr>
            <sz val="9"/>
            <color indexed="81"/>
            <rFont val="Tahoma"/>
            <family val="2"/>
            <charset val="238"/>
          </rPr>
          <t>Vybrat správnou variantu, pokud není nadlimitní spotřeba, vybrat prázdný řádek</t>
        </r>
      </text>
    </comment>
    <comment ref="AF8" authorId="0" shapeId="0" xr:uid="{739A9199-BB51-4AF2-AA2A-8CF771E48639}">
      <text>
        <r>
          <rPr>
            <b/>
            <sz val="9"/>
            <color indexed="81"/>
            <rFont val="Tahoma"/>
            <family val="2"/>
            <charset val="238"/>
          </rPr>
          <t>Bernátová Alena:</t>
        </r>
        <r>
          <rPr>
            <sz val="9"/>
            <color indexed="81"/>
            <rFont val="Tahoma"/>
            <family val="2"/>
            <charset val="238"/>
          </rPr>
          <t xml:space="preserve">
druh OM 1106, 1206</t>
        </r>
      </text>
    </comment>
    <comment ref="E10" authorId="0" shapeId="0" xr:uid="{35FE2E1A-717F-41A5-9A5F-9DDB4FD8040E}">
      <text>
        <r>
          <rPr>
            <sz val="9"/>
            <color indexed="81"/>
            <rFont val="Tahoma"/>
            <family val="2"/>
            <charset val="238"/>
          </rPr>
          <t xml:space="preserve">neúčtuje se mu popl.OTE
</t>
        </r>
      </text>
    </comment>
    <comment ref="G10" authorId="0" shapeId="0" xr:uid="{B2F4C295-D0B0-40E5-8E56-EFF2EC6C60F4}">
      <text>
        <r>
          <rPr>
            <sz val="9"/>
            <color indexed="81"/>
            <rFont val="Tahoma"/>
            <family val="2"/>
            <charset val="238"/>
          </rPr>
          <t xml:space="preserve">cena pouze za komoditu, pevná cena nezávislá na kapacitě a na spotřebě tj. neplatí za kapacitu  nemůže mít MK ani KK.
Pokud dojde k překročení denní rezervované kapacity, je zákazníkovi účtována platba za překročení podle bodu (13.6), přičemž podmínky stanovené v tomto bodě se použijí obdobně. Pro stanovení roční ceny za denní rezervovanou distribuční kapacitu CK pro účely výpočtu platby za překročení se postupuje podle bodu (13.1.2.1) písmene a) nebo (13.1.2.2) písmene a) tj. </t>
        </r>
        <r>
          <rPr>
            <b/>
            <sz val="9"/>
            <color indexed="81"/>
            <rFont val="Tahoma"/>
            <family val="2"/>
            <charset val="238"/>
          </rPr>
          <t>NEMÁ NADLIMITNÍ CENU ZA KAPACITU</t>
        </r>
      </text>
    </comment>
    <comment ref="K10" authorId="0" shapeId="0" xr:uid="{8A9104FA-B37F-4DFE-A566-BC3DDC552DB3}">
      <text>
        <r>
          <rPr>
            <sz val="9"/>
            <color indexed="81"/>
            <rFont val="Tahoma"/>
            <family val="2"/>
            <charset val="238"/>
          </rPr>
          <t>kapacita nesmí být však nižší než min.kap. 519 (viz. CR 3.9)</t>
        </r>
      </text>
    </comment>
    <comment ref="O10" authorId="0" shapeId="0" xr:uid="{5907906D-CDCC-44C5-8F76-29BDEA11CB1D}">
      <text>
        <r>
          <rPr>
            <b/>
            <sz val="9"/>
            <color indexed="81"/>
            <rFont val="Tahoma"/>
            <family val="2"/>
            <charset val="238"/>
          </rPr>
          <t xml:space="preserve">u klouzavek podmínka:
</t>
        </r>
        <r>
          <rPr>
            <sz val="9"/>
            <color indexed="81"/>
            <rFont val="Tahoma"/>
            <family val="2"/>
            <charset val="238"/>
          </rPr>
          <t xml:space="preserve">platnost min. na 1 měsíc nebo do konce násl.měsíce
</t>
        </r>
      </text>
    </comment>
    <comment ref="Q10" authorId="0" shapeId="0" xr:uid="{49BAB075-B4CD-4730-A270-C4331EE99A69}">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R10" authorId="0" shapeId="0" xr:uid="{5476BDE6-2F4A-44B8-B88B-C288A482E99A}">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S10" authorId="0" shapeId="0" xr:uid="{33901082-10F4-457F-B97A-CBAC9D8FAB55}">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T10" authorId="0" shapeId="0" xr:uid="{9BDD5E4E-AF3C-4D89-8F64-BDC9D7B055FA}">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U10" authorId="0" shapeId="0" xr:uid="{8A22CF90-9BC8-4379-9E93-F2E9A9CD7993}">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W10" authorId="0" shapeId="0" xr:uid="{B53A595A-FF45-4BB0-A099-95C5FA94A91B}">
      <text>
        <r>
          <rPr>
            <b/>
            <sz val="9"/>
            <color indexed="81"/>
            <rFont val="Tahoma"/>
            <family val="2"/>
            <charset val="238"/>
          </rPr>
          <t>Bernátová Alena:</t>
        </r>
        <r>
          <rPr>
            <sz val="9"/>
            <color indexed="81"/>
            <rFont val="Tahoma"/>
            <family val="2"/>
            <charset val="238"/>
          </rPr>
          <t xml:space="preserve">
zaprac.minimální kapacita ve vzorci</t>
        </r>
      </text>
    </comment>
    <comment ref="X10" authorId="1" shapeId="0" xr:uid="{F860A0B2-61CE-485C-9144-FB7B806002A5}">
      <text>
        <r>
          <rPr>
            <b/>
            <sz val="8"/>
            <color indexed="81"/>
            <rFont val="Tahoma"/>
            <family val="2"/>
            <charset val="238"/>
          </rPr>
          <t>Bernátová:</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MUSÍ BÝT ALE PLATNÉ KE DNI DANÉ KLOUZAVKY
. Pokud některé začínají ve stejný den, zadat obě a pak zapsat cenu.</t>
        </r>
      </text>
    </comment>
    <comment ref="Z10" authorId="0" shapeId="0" xr:uid="{8597D211-99AE-4A35-8F5D-B5AC6FFC206B}">
      <text>
        <r>
          <rPr>
            <b/>
            <sz val="9"/>
            <color indexed="81"/>
            <rFont val="Tahoma"/>
            <family val="2"/>
            <charset val="238"/>
          </rPr>
          <t>Bernátová Alena:</t>
        </r>
        <r>
          <rPr>
            <sz val="9"/>
            <color indexed="81"/>
            <rFont val="Tahoma"/>
            <family val="2"/>
            <charset val="238"/>
          </rPr>
          <t xml:space="preserve">
zaprac.minimální kapacita ve vzorci</t>
        </r>
      </text>
    </comment>
    <comment ref="AA10" authorId="1" shapeId="0" xr:uid="{9E42DD29-54E6-4EB5-8794-CF0E56B8CDAD}">
      <text>
        <r>
          <rPr>
            <b/>
            <sz val="8"/>
            <color indexed="81"/>
            <rFont val="Tahoma"/>
            <family val="2"/>
            <charset val="238"/>
          </rPr>
          <t>Bernátová:</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MUSÍ BÝT ALE PLATNÉ KE DNI DANÉ KLOUZAVKY
. Pokud některé začínají ve stejný den, zadat obě a pak zapsat cenu.</t>
        </r>
      </text>
    </comment>
    <comment ref="AC10" authorId="0" shapeId="0" xr:uid="{8FDB1356-06DD-46B6-B876-4FEA82D664A3}">
      <text>
        <r>
          <rPr>
            <b/>
            <sz val="9"/>
            <color indexed="81"/>
            <rFont val="Tahoma"/>
            <family val="2"/>
            <charset val="238"/>
          </rPr>
          <t>Bernátová Alena:</t>
        </r>
        <r>
          <rPr>
            <sz val="9"/>
            <color indexed="81"/>
            <rFont val="Tahoma"/>
            <family val="2"/>
            <charset val="238"/>
          </rPr>
          <t xml:space="preserve">
zaprac.minimální kapacita ve vzorci</t>
        </r>
      </text>
    </comment>
    <comment ref="AD10" authorId="1" shapeId="0" xr:uid="{E92FC334-B3F1-4A91-8194-65B5B785065E}">
      <text>
        <r>
          <rPr>
            <sz val="8"/>
            <color indexed="81"/>
            <rFont val="Tahoma"/>
            <family val="2"/>
            <charset val="238"/>
          </rPr>
          <t>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AG10" authorId="1" shapeId="0" xr:uid="{395D888A-5824-4348-BB00-6ED1A73A9E7F}">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AJ10" authorId="1" shapeId="0" xr:uid="{BF43CF1C-56BC-4507-85B8-DA62E6A2E928}">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E11" authorId="0" shapeId="0" xr:uid="{9309B5E9-77F6-4E4E-B0D4-0488F54C31C4}">
      <text>
        <r>
          <rPr>
            <sz val="9"/>
            <color indexed="81"/>
            <rFont val="Tahoma"/>
            <family val="2"/>
            <charset val="238"/>
          </rPr>
          <t>dle dodatku k CR v r.2020  - COVID sleva - NOVOUZOVÝ STAV</t>
        </r>
      </text>
    </comment>
    <comment ref="I12" authorId="0" shapeId="0" xr:uid="{3DA6C3EB-E79F-4BB7-84BA-C86EE78DC2A4}">
      <text>
        <r>
          <rPr>
            <b/>
            <sz val="9"/>
            <color indexed="81"/>
            <rFont val="Tahoma"/>
            <family val="2"/>
            <charset val="238"/>
          </rPr>
          <t xml:space="preserve">CR bod 13.7.
</t>
        </r>
        <r>
          <rPr>
            <sz val="9"/>
            <color indexed="81"/>
            <rFont val="Tahoma"/>
            <family val="2"/>
            <charset val="238"/>
          </rPr>
          <t>neplatí za překročení</t>
        </r>
      </text>
    </comment>
    <comment ref="I13" authorId="0" shapeId="0" xr:uid="{AC93227E-888A-4C78-BBA6-5C7D55A9D2EA}">
      <text>
        <r>
          <rPr>
            <b/>
            <sz val="9"/>
            <color indexed="81"/>
            <rFont val="Tahoma"/>
            <family val="2"/>
            <charset val="238"/>
          </rPr>
          <t xml:space="preserve">Pokud došlu u sazby zkušební provoz k překročení </t>
        </r>
        <r>
          <rPr>
            <sz val="9"/>
            <color indexed="81"/>
            <rFont val="Tahoma"/>
            <family val="2"/>
            <charset val="238"/>
          </rPr>
          <t>sjednané kapacity, tak zadat dosažené maximum - neplatí cenu za překročení</t>
        </r>
      </text>
    </comment>
    <comment ref="F19" authorId="0" shapeId="0" xr:uid="{001F2E79-D402-48E2-AE0F-EB0209C3AED5}">
      <text>
        <r>
          <rPr>
            <sz val="9"/>
            <color indexed="81"/>
            <rFont val="Tahoma"/>
            <family val="2"/>
            <charset val="238"/>
          </rPr>
          <t>nevyplňovat pro M3R, protože tomu se nepočítá překročení</t>
        </r>
      </text>
    </comment>
    <comment ref="G26" authorId="0" shapeId="0" xr:uid="{A2034E03-D919-4668-9E68-4C581418075E}">
      <text>
        <r>
          <rPr>
            <sz val="9"/>
            <color indexed="81"/>
            <rFont val="Tahoma"/>
            <family val="2"/>
            <charset val="238"/>
          </rPr>
          <t>pro buňku I31</t>
        </r>
      </text>
    </comment>
    <comment ref="I31" authorId="0" shapeId="0" xr:uid="{5C5B6B89-8559-4C11-B13A-19020BD2B85E}">
      <text>
        <r>
          <rPr>
            <b/>
            <sz val="9"/>
            <color indexed="81"/>
            <rFont val="Tahoma"/>
            <family val="2"/>
            <charset val="238"/>
          </rPr>
          <t>Bernátová Alena:</t>
        </r>
        <r>
          <rPr>
            <sz val="9"/>
            <color indexed="81"/>
            <rFont val="Tahoma"/>
            <family val="2"/>
            <charset val="238"/>
          </rPr>
          <t xml:space="preserve">
nepočítá se roční C, ostatní kapacity pro výpočet ceny se zadají ty, které byly ke dni překročení aktivní, tj. pokud klouzavá ještě nebyla nebo už skončila, tak se nepočítá do výpočtu ceny. </t>
        </r>
        <r>
          <rPr>
            <b/>
            <i/>
            <sz val="9"/>
            <color indexed="81"/>
            <rFont val="Tahoma"/>
            <family val="2"/>
            <charset val="238"/>
          </rPr>
          <t>Minimální součet kapacit pro výpočet ceny je 519</t>
        </r>
      </text>
    </comment>
    <comment ref="W31" authorId="0" shapeId="0" xr:uid="{2FD17EB3-3EFA-46D6-A41C-4C9041A0FAAA}">
      <text>
        <r>
          <rPr>
            <b/>
            <sz val="9"/>
            <color indexed="81"/>
            <rFont val="Tahoma"/>
            <family val="2"/>
            <charset val="238"/>
          </rPr>
          <t xml:space="preserve">cena kapacit, která spadá do datumu překročen </t>
        </r>
      </text>
    </comment>
    <comment ref="I36" authorId="0" shapeId="0" xr:uid="{733530E8-10BC-4390-9E39-2269F98B3E9D}">
      <text>
        <r>
          <rPr>
            <sz val="9"/>
            <color indexed="81"/>
            <rFont val="Tahoma"/>
            <family val="2"/>
            <charset val="238"/>
          </rPr>
          <t xml:space="preserve">Pravidla fakturace pro výrobce:
neúčtuje se poplatek OTE
cena pouze za kapacitu - pevná cena nezávislá na kapacitě ani na spotřebě
neplatí cenu za komoditu
může mít MK, KK, počítá se mu překročení pokud nemá zadán operand G0FLDNPREK pro blokování
</t>
        </r>
      </text>
    </comment>
    <comment ref="L36" authorId="1" shapeId="0" xr:uid="{14FDBB26-B492-49D8-8B85-7CF7BE89B67B}">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I38" authorId="0" shapeId="0" xr:uid="{AB6C9F5F-9BDC-434A-8DA4-3C1A72B69B0C}">
      <text>
        <r>
          <rPr>
            <b/>
            <sz val="9"/>
            <color indexed="81"/>
            <rFont val="Tahoma"/>
            <family val="2"/>
            <charset val="238"/>
          </rPr>
          <t>Bernátová Alena:</t>
        </r>
        <r>
          <rPr>
            <sz val="9"/>
            <color indexed="81"/>
            <rFont val="Tahoma"/>
            <family val="2"/>
            <charset val="238"/>
          </rPr>
          <t xml:space="preserve">
nepočítá se roční C, ostatní kapacity pro výpočet ceny se zadají ty, které byly ke dni překročení aktivní, tj. pokud klouzavá ještě nebyla nebo už skončila, tak se nepočítá do výpočtu ceny</t>
        </r>
      </text>
    </comment>
    <comment ref="D49" authorId="0" shapeId="0" xr:uid="{AD127D27-96B1-47D3-AA63-2E3A2E9189E0}">
      <text>
        <r>
          <rPr>
            <b/>
            <sz val="9"/>
            <color indexed="81"/>
            <rFont val="Tahoma"/>
            <family val="2"/>
            <charset val="238"/>
          </rPr>
          <t>dle CR 13.1.2.3</t>
        </r>
      </text>
    </comment>
    <comment ref="I49" authorId="0" shapeId="0" xr:uid="{B90D5FD5-7F9F-43B5-8E2C-F8FDBA864658}">
      <text>
        <r>
          <rPr>
            <b/>
            <sz val="9"/>
            <color indexed="81"/>
            <rFont val="Tahoma"/>
            <family val="2"/>
            <charset val="238"/>
          </rPr>
          <t>dle CR 13.1.2.3</t>
        </r>
      </text>
    </comment>
    <comment ref="I50" authorId="0" shapeId="0" xr:uid="{7AD300E5-9005-4F97-9EB5-7880D50B4DE2}">
      <text>
        <r>
          <rPr>
            <b/>
            <sz val="9"/>
            <color indexed="81"/>
            <rFont val="Tahoma"/>
            <family val="2"/>
            <charset val="238"/>
          </rPr>
          <t>dle CR 13.1.2.3</t>
        </r>
      </text>
    </comment>
    <comment ref="D53" authorId="0" shapeId="0" xr:uid="{3FB1959C-2E7D-4C48-8C08-BD95A9902245}">
      <text>
        <r>
          <rPr>
            <sz val="9"/>
            <color indexed="81"/>
            <rFont val="Tahoma"/>
            <family val="2"/>
            <charset val="238"/>
          </rPr>
          <t>bod 11.3. CR + NAŘÍZENÍ VLÁDY ze dne 14. prosince 2015 o stanovení sazby poplatku na činnost ERU dle § 17d odst.3 EZ</t>
        </r>
      </text>
    </comment>
    <comment ref="L53" authorId="0" shapeId="0" xr:uid="{DCD906D9-8C64-4AEE-8839-D33D42FBEE6C}">
      <text>
        <r>
          <rPr>
            <b/>
            <sz val="9"/>
            <color indexed="81"/>
            <rFont val="Tahoma"/>
            <family val="2"/>
            <charset val="238"/>
          </rPr>
          <t xml:space="preserve">CR bod 10.3
</t>
        </r>
      </text>
    </comment>
    <comment ref="D54" authorId="0" shapeId="0" xr:uid="{742ECF19-26CE-4EF1-8F71-C54E91B5A89F}">
      <text>
        <r>
          <rPr>
            <b/>
            <sz val="9"/>
            <color indexed="81"/>
            <rFont val="Tahoma"/>
            <family val="2"/>
            <charset val="238"/>
          </rPr>
          <t>CR bod 13.12</t>
        </r>
      </text>
    </comment>
    <comment ref="D55" authorId="0" shapeId="0" xr:uid="{9E51A0BF-9621-401F-81B8-A319E41770B2}">
      <text>
        <r>
          <rPr>
            <b/>
            <sz val="9"/>
            <color indexed="81"/>
            <rFont val="Tahoma"/>
            <family val="2"/>
            <charset val="238"/>
          </rPr>
          <t>CR bod 13.8.</t>
        </r>
      </text>
    </comment>
    <comment ref="D56" authorId="0" shapeId="0" xr:uid="{80D0EE10-5D14-487A-A10D-D8D281B2009A}">
      <text>
        <r>
          <rPr>
            <b/>
            <sz val="9"/>
            <color indexed="81"/>
            <rFont val="Tahoma"/>
            <family val="2"/>
            <charset val="238"/>
          </rPr>
          <t>CR bod 13.9</t>
        </r>
      </text>
    </comment>
    <comment ref="E56" authorId="0" shapeId="0" xr:uid="{3E3A1988-A436-41E8-B2F6-A1BF5F4148AB}">
      <text>
        <r>
          <rPr>
            <sz val="9"/>
            <color indexed="81"/>
            <rFont val="Tahoma"/>
            <family val="2"/>
            <charset val="238"/>
          </rPr>
          <t xml:space="preserve">do r.2013 = 543
od r.2014 = 519
</t>
        </r>
      </text>
    </comment>
    <comment ref="G59" authorId="0" shapeId="0" xr:uid="{2B3BD918-B491-4A46-A432-5590F4C61588}">
      <text>
        <r>
          <rPr>
            <sz val="9"/>
            <color indexed="81"/>
            <rFont val="Tahoma"/>
            <family val="2"/>
            <charset val="238"/>
          </rPr>
          <t>stejný jako loni - viz CR 10.11</t>
        </r>
      </text>
    </comment>
    <comment ref="H59" authorId="0" shapeId="0" xr:uid="{224BCA78-EE3A-45A3-89D5-452CCE9AAF8F}">
      <text>
        <r>
          <rPr>
            <sz val="9"/>
            <color indexed="81"/>
            <rFont val="Tahoma"/>
            <family val="2"/>
            <charset val="238"/>
          </rPr>
          <t>stejný jako loni - viz CR 13.2</t>
        </r>
      </text>
    </comment>
    <comment ref="I59" authorId="0" shapeId="0" xr:uid="{671E4AAE-817B-4C47-86C8-5D63B7E61C99}">
      <text>
        <r>
          <rPr>
            <sz val="9"/>
            <color indexed="81"/>
            <rFont val="Tahoma"/>
            <family val="2"/>
            <charset val="238"/>
          </rPr>
          <t>stejný jako loni - viz CR 13.4.1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Bernátová Alena</author>
    <author>bernatova</author>
    <author>Čiháková Marta</author>
  </authors>
  <commentList>
    <comment ref="G9" authorId="0" shapeId="0" xr:uid="{875608AF-90D1-4E26-AF47-1793D7B04318}">
      <text>
        <r>
          <rPr>
            <b/>
            <sz val="9"/>
            <color indexed="81"/>
            <rFont val="Tahoma"/>
            <family val="2"/>
            <charset val="238"/>
          </rPr>
          <t>Bernátová Alena:</t>
        </r>
        <r>
          <rPr>
            <sz val="9"/>
            <color indexed="81"/>
            <rFont val="Tahoma"/>
            <family val="2"/>
            <charset val="238"/>
          </rPr>
          <t xml:space="preserve">
GHQVYPKAPC</t>
        </r>
      </text>
    </comment>
    <comment ref="D10" authorId="1" shapeId="0" xr:uid="{26195F12-229F-4465-90CD-DD5F439E7219}">
      <text>
        <r>
          <rPr>
            <sz val="8"/>
            <color indexed="81"/>
            <rFont val="Tahoma"/>
            <family val="2"/>
            <charset val="238"/>
          </rPr>
          <t xml:space="preserve">Vezme se nasmlouvaná kapacita včetně kapacity C, porovná se s hodnotou 120% M2R a pro výpočet se bere ta, která je nižší. Nesmí být však nižší než min.kap. 519 (viz. CR 13.9)
</t>
        </r>
      </text>
    </comment>
    <comment ref="E10" authorId="1" shapeId="0" xr:uid="{AEE28426-B37B-468D-BFEE-1B141A156984}">
      <text>
        <r>
          <rPr>
            <sz val="8"/>
            <color indexed="81"/>
            <rFont val="Tahoma"/>
            <family val="2"/>
            <charset val="238"/>
          </rPr>
          <t xml:space="preserve">Vezme se nasmlouvaná kapacita včetně kapacity C, porovná se s hodnotou 120% M2R a pro výpočet se bere ta, která je nižší. Nesmí být však nižší než min.kap. 519 (viz. CR 3.9)
</t>
        </r>
      </text>
    </comment>
    <comment ref="F10" authorId="2" shapeId="0" xr:uid="{67C66177-A7C9-4E74-8724-8FBF1104EC77}">
      <text>
        <r>
          <rPr>
            <b/>
            <sz val="8"/>
            <color indexed="81"/>
            <rFont val="Tahoma"/>
            <family val="2"/>
            <charset val="238"/>
          </rPr>
          <t>Čiháková Marta:</t>
        </r>
        <r>
          <rPr>
            <sz val="8"/>
            <color indexed="81"/>
            <rFont val="Tahoma"/>
            <family val="2"/>
            <charset val="238"/>
          </rPr>
          <t xml:space="preserve">
Ve faktuře není vidět, nutno opsat z operandu
G0QMAXNM3</t>
        </r>
      </text>
    </comment>
    <comment ref="G10" authorId="2" shapeId="0" xr:uid="{02DA5205-EB0A-4684-BE06-81D5785966B7}">
      <text>
        <r>
          <rPr>
            <b/>
            <sz val="8"/>
            <color indexed="81"/>
            <rFont val="Tahoma"/>
            <family val="2"/>
            <charset val="238"/>
          </rPr>
          <t>Čiháková Marta:</t>
        </r>
        <r>
          <rPr>
            <sz val="8"/>
            <color indexed="81"/>
            <rFont val="Tahoma"/>
            <family val="2"/>
            <charset val="238"/>
          </rPr>
          <t xml:space="preserve">
Ve faktuře není vidět, nutno opsat z operandu G0QSCMANM3</t>
        </r>
      </text>
    </comment>
    <comment ref="K10" authorId="2" shapeId="0" xr:uid="{48E274DC-54D2-4D08-B368-5F24DBB185E0}">
      <text>
        <r>
          <rPr>
            <b/>
            <sz val="8"/>
            <color indexed="81"/>
            <rFont val="Tahoma"/>
            <family val="2"/>
            <charset val="238"/>
          </rPr>
          <t>Čiháková Marta:</t>
        </r>
        <r>
          <rPr>
            <sz val="8"/>
            <color indexed="81"/>
            <rFont val="Tahoma"/>
            <family val="2"/>
            <charset val="238"/>
          </rPr>
          <t xml:space="preserve">
Opsat z faktury</t>
        </r>
      </text>
    </comment>
    <comment ref="E14" authorId="0" shapeId="0" xr:uid="{84C4BCCD-72EE-4B73-84ED-ED1D3212D850}">
      <text>
        <r>
          <rPr>
            <b/>
            <sz val="9"/>
            <color indexed="81"/>
            <rFont val="Tahoma"/>
            <family val="2"/>
            <charset val="238"/>
          </rPr>
          <t>Bernátová Alena:</t>
        </r>
        <r>
          <rPr>
            <sz val="9"/>
            <color indexed="81"/>
            <rFont val="Tahoma"/>
            <family val="2"/>
            <charset val="238"/>
          </rPr>
          <t xml:space="preserve">
může být menší než cena za distribuci v případě, že je RK větší než M2R a překročil</t>
        </r>
      </text>
    </comment>
    <comment ref="F14" authorId="0" shapeId="0" xr:uid="{392BF361-A4C8-404A-8F39-750FB31E95DC}">
      <text>
        <r>
          <rPr>
            <sz val="9"/>
            <color indexed="81"/>
            <rFont val="Tahoma"/>
            <family val="2"/>
            <charset val="238"/>
          </rPr>
          <t xml:space="preserve">(40*s) = 40*10,69= 427,6
</t>
        </r>
      </text>
    </comment>
    <comment ref="K14" authorId="0" shapeId="0" xr:uid="{0049E5CF-6EC9-451C-A9F0-8C7FFEC45362}">
      <text>
        <r>
          <rPr>
            <sz val="9"/>
            <color indexed="81"/>
            <rFont val="Tahoma"/>
            <family val="2"/>
            <charset val="238"/>
          </rPr>
          <t>v CR není jednoznačně uvedené z jaké kapacity vypočítat cenu za překročení, počítáme z RK, což je pro zákazníka výhodnější, ale mohlo by se počítat z M2R, v případě že je RK větší než M2R, jako je tomu při výpočtu ceny za RK.</t>
        </r>
      </text>
    </comment>
  </commentList>
</comments>
</file>

<file path=xl/sharedStrings.xml><?xml version="1.0" encoding="utf-8"?>
<sst xmlns="http://schemas.openxmlformats.org/spreadsheetml/2006/main" count="796" uniqueCount="482">
  <si>
    <t>2. Ceny za služby operátora trhu</t>
  </si>
  <si>
    <t>2.3 Pevná cena za zúčtování je</t>
  </si>
  <si>
    <t>Kč/MWh</t>
  </si>
  <si>
    <t>13. Cena za distribuci plynu</t>
  </si>
  <si>
    <t>13.1.1</t>
  </si>
  <si>
    <t>JMP Net</t>
  </si>
  <si>
    <t>Přepočtená roční spotřeba 
v odběrném místě 
v pásmu "nad - do včetně" MWh za rok</t>
  </si>
  <si>
    <t>Dvousložková cena</t>
  </si>
  <si>
    <t>nad 63</t>
  </si>
  <si>
    <t>55 - 63</t>
  </si>
  <si>
    <t>50 - 55</t>
  </si>
  <si>
    <t>45 - 50</t>
  </si>
  <si>
    <t>40 - 45</t>
  </si>
  <si>
    <t>35 - 40</t>
  </si>
  <si>
    <t>30 - 35</t>
  </si>
  <si>
    <t>25 - 30</t>
  </si>
  <si>
    <t>20 - 25</t>
  </si>
  <si>
    <t>15 - 20</t>
  </si>
  <si>
    <t>0 - 1,89</t>
  </si>
  <si>
    <t>1,89 - 7,56</t>
  </si>
  <si>
    <t>7,56 - 15</t>
  </si>
  <si>
    <t>Pevná cena za odebraný plyn v Kč/MWh</t>
  </si>
  <si>
    <r>
      <t>Pevná roční cena za denní rezervovanou pevnou distribuční kapacitu Crd v Kč/tis. m</t>
    </r>
    <r>
      <rPr>
        <vertAlign val="superscript"/>
        <sz val="11"/>
        <color indexed="8"/>
        <rFont val="Calibri"/>
        <family val="2"/>
        <charset val="238"/>
      </rPr>
      <t>3</t>
    </r>
  </si>
  <si>
    <t>Stálý měsíční plat za přistavenou kapacitu v Kč</t>
  </si>
  <si>
    <t>SMP Net</t>
  </si>
  <si>
    <t>VČP Net</t>
  </si>
  <si>
    <t xml:space="preserve"> </t>
  </si>
  <si>
    <t>Provozovatel distribuční soustavy</t>
  </si>
  <si>
    <t>Koeficienty cenového vzorce</t>
  </si>
  <si>
    <t>Dálkovod</t>
  </si>
  <si>
    <t>Místní síť</t>
  </si>
  <si>
    <t>a</t>
  </si>
  <si>
    <t>b</t>
  </si>
  <si>
    <t>RWE GasNet</t>
  </si>
  <si>
    <t xml:space="preserve">na dobu neurčitou pro odběrné místo, pokud zákazník denní přerušitelnou </t>
  </si>
  <si>
    <r>
      <t>distribuční kapacitu na dobu neurčitou rezervuje, v m</t>
    </r>
    <r>
      <rPr>
        <vertAlign val="superscript"/>
        <sz val="11"/>
        <color indexed="8"/>
        <rFont val="Calibri"/>
        <family val="2"/>
        <charset val="238"/>
      </rPr>
      <t>3</t>
    </r>
    <r>
      <rPr>
        <sz val="11"/>
        <color theme="1"/>
        <rFont val="Calibri"/>
        <family val="2"/>
        <charset val="238"/>
        <scheme val="minor"/>
      </rPr>
      <t>.</t>
    </r>
  </si>
  <si>
    <r>
      <rPr>
        <b/>
        <i/>
        <sz val="11"/>
        <color indexed="8"/>
        <rFont val="Calibri"/>
        <family val="2"/>
        <charset val="238"/>
      </rPr>
      <t>k</t>
    </r>
    <r>
      <rPr>
        <sz val="11"/>
        <color theme="1"/>
        <rFont val="Calibri"/>
        <family val="2"/>
        <charset val="238"/>
        <scheme val="minor"/>
      </rPr>
      <t xml:space="preserve"> je součet denní rezervované pevné a přerušitelné distribuční kapacity</t>
    </r>
  </si>
  <si>
    <r>
      <t xml:space="preserve">13.1.2.2 Pevná roční cena za odebraný plyn </t>
    </r>
    <r>
      <rPr>
        <b/>
        <sz val="11"/>
        <color indexed="8"/>
        <rFont val="Calibri"/>
        <family val="2"/>
        <charset val="238"/>
      </rPr>
      <t>C</t>
    </r>
    <r>
      <rPr>
        <b/>
        <vertAlign val="subscript"/>
        <sz val="11"/>
        <color indexed="8"/>
        <rFont val="Calibri"/>
        <family val="2"/>
        <charset val="238"/>
      </rPr>
      <t>kom</t>
    </r>
    <r>
      <rPr>
        <sz val="11"/>
        <color theme="1"/>
        <rFont val="Calibri"/>
        <family val="2"/>
        <charset val="238"/>
        <scheme val="minor"/>
      </rPr>
      <t xml:space="preserve"> v Kč/MWh</t>
    </r>
  </si>
  <si>
    <r>
      <t xml:space="preserve">Pevná cena za odebraný plyn </t>
    </r>
    <r>
      <rPr>
        <b/>
        <sz val="11"/>
        <color indexed="8"/>
        <rFont val="Calibri"/>
        <family val="2"/>
        <charset val="238"/>
      </rPr>
      <t>C</t>
    </r>
    <r>
      <rPr>
        <b/>
        <vertAlign val="subscript"/>
        <sz val="11"/>
        <color indexed="8"/>
        <rFont val="Calibri"/>
        <family val="2"/>
        <charset val="238"/>
      </rPr>
      <t>kom</t>
    </r>
  </si>
  <si>
    <r>
      <t xml:space="preserve">             za distribuci plynu </t>
    </r>
    <r>
      <rPr>
        <b/>
        <sz val="11"/>
        <color indexed="8"/>
        <rFont val="Calibri"/>
        <family val="2"/>
        <charset val="238"/>
      </rPr>
      <t>C</t>
    </r>
    <r>
      <rPr>
        <b/>
        <vertAlign val="subscript"/>
        <sz val="11"/>
        <color indexed="8"/>
        <rFont val="Calibri"/>
        <family val="2"/>
        <charset val="238"/>
      </rPr>
      <t>jedn</t>
    </r>
    <r>
      <rPr>
        <sz val="11"/>
        <color theme="1"/>
        <rFont val="Calibri"/>
        <family val="2"/>
        <charset val="238"/>
        <scheme val="minor"/>
      </rPr>
      <t xml:space="preserve"> v Kč/MWh, která se určí podle vzorce</t>
    </r>
  </si>
  <si>
    <r>
      <rPr>
        <b/>
        <sz val="11"/>
        <color indexed="8"/>
        <rFont val="Calibri"/>
        <family val="2"/>
        <charset val="238"/>
      </rPr>
      <t>C</t>
    </r>
    <r>
      <rPr>
        <b/>
        <vertAlign val="subscript"/>
        <sz val="11"/>
        <color indexed="8"/>
        <rFont val="Calibri"/>
        <family val="2"/>
        <charset val="238"/>
      </rPr>
      <t>jedn</t>
    </r>
    <r>
      <rPr>
        <sz val="11"/>
        <color theme="1"/>
        <rFont val="Calibri"/>
        <family val="2"/>
        <charset val="238"/>
        <scheme val="minor"/>
      </rPr>
      <t xml:space="preserve"> = CK/(40 x s) + C</t>
    </r>
    <r>
      <rPr>
        <vertAlign val="subscript"/>
        <sz val="11"/>
        <color indexed="8"/>
        <rFont val="Calibri"/>
        <family val="2"/>
        <charset val="238"/>
      </rPr>
      <t>kom</t>
    </r>
    <r>
      <rPr>
        <sz val="11"/>
        <color theme="1"/>
        <rFont val="Calibri"/>
        <family val="2"/>
        <charset val="238"/>
        <scheme val="minor"/>
      </rPr>
      <t xml:space="preserve"> + 20</t>
    </r>
  </si>
  <si>
    <t>13.1.12 Pro odběrné místo</t>
  </si>
  <si>
    <t>13.1.12.1 s měřením typu A nebo B, pro které je cena za distribuci stanovena podle bodu 13.1.2 platí,</t>
  </si>
  <si>
    <r>
      <t xml:space="preserve">             že měsíční platba za denní rezervovanou pevnou distribuční kapacitu </t>
    </r>
    <r>
      <rPr>
        <b/>
        <sz val="11"/>
        <color indexed="8"/>
        <rFont val="Calibri"/>
        <family val="2"/>
        <charset val="238"/>
      </rPr>
      <t>MP</t>
    </r>
    <r>
      <rPr>
        <b/>
        <vertAlign val="subscript"/>
        <sz val="11"/>
        <color indexed="8"/>
        <rFont val="Calibri"/>
        <family val="2"/>
        <charset val="238"/>
      </rPr>
      <t>AB</t>
    </r>
    <r>
      <rPr>
        <sz val="11"/>
        <color theme="1"/>
        <rFont val="Calibri"/>
        <family val="2"/>
        <charset val="238"/>
        <scheme val="minor"/>
      </rPr>
      <t xml:space="preserve"> v Kč/měsíc se určí</t>
    </r>
  </si>
  <si>
    <r>
      <rPr>
        <b/>
        <sz val="11"/>
        <color indexed="8"/>
        <rFont val="Calibri"/>
        <family val="2"/>
        <charset val="238"/>
      </rPr>
      <t>MP</t>
    </r>
    <r>
      <rPr>
        <b/>
        <vertAlign val="subscript"/>
        <sz val="11"/>
        <color indexed="8"/>
        <rFont val="Calibri"/>
        <family val="2"/>
        <charset val="238"/>
      </rPr>
      <t>AB</t>
    </r>
    <r>
      <rPr>
        <sz val="11"/>
        <color theme="1"/>
        <rFont val="Calibri"/>
        <family val="2"/>
        <charset val="238"/>
        <scheme val="minor"/>
      </rPr>
      <t xml:space="preserve"> = (CK x</t>
    </r>
    <r>
      <rPr>
        <i/>
        <sz val="11"/>
        <color indexed="8"/>
        <rFont val="Calibri"/>
        <family val="2"/>
        <charset val="238"/>
      </rPr>
      <t xml:space="preserve"> k</t>
    </r>
    <r>
      <rPr>
        <sz val="11"/>
        <color theme="1"/>
        <rFont val="Calibri"/>
        <family val="2"/>
        <charset val="238"/>
        <scheme val="minor"/>
      </rPr>
      <t>/1000)/12</t>
    </r>
  </si>
  <si>
    <t xml:space="preserve">13.1.12.3 pro které je cena za distribuci plynu stanovena podle bodu 13.1.1 platí, že denní přidělená </t>
  </si>
  <si>
    <t>RS je přepočtená roční spotřeba plynu</t>
  </si>
  <si>
    <t>nebo dohodnutý odběr plynu v OM</t>
  </si>
  <si>
    <t>OM do pásma</t>
  </si>
  <si>
    <t xml:space="preserve">v tis. m3, který je použit pro zařazení </t>
  </si>
  <si>
    <r>
      <rPr>
        <b/>
        <sz val="11"/>
        <color indexed="8"/>
        <rFont val="Calibri"/>
        <family val="2"/>
        <charset val="238"/>
      </rPr>
      <t>RK</t>
    </r>
    <r>
      <rPr>
        <b/>
        <vertAlign val="subscript"/>
        <sz val="11"/>
        <color indexed="8"/>
        <rFont val="Calibri"/>
        <family val="2"/>
        <charset val="238"/>
      </rPr>
      <t>C</t>
    </r>
    <r>
      <rPr>
        <sz val="11"/>
        <color theme="1"/>
        <rFont val="Calibri"/>
        <family val="2"/>
        <charset val="238"/>
        <scheme val="minor"/>
      </rPr>
      <t xml:space="preserve"> = RS/110</t>
    </r>
  </si>
  <si>
    <t>13.2 Ceny za denní rezervovanou pevnou měsíční distribuční kapacitu</t>
  </si>
  <si>
    <t xml:space="preserve">           Pevná cena za odebraný plyn je shodná s cenou za odebraný plyn podle tabulky 13.1.2.</t>
  </si>
  <si>
    <r>
      <rPr>
        <b/>
        <sz val="11"/>
        <color indexed="8"/>
        <rFont val="Calibri"/>
        <family val="2"/>
        <charset val="238"/>
      </rPr>
      <t>C</t>
    </r>
    <r>
      <rPr>
        <b/>
        <vertAlign val="subscript"/>
        <sz val="11"/>
        <color indexed="8"/>
        <rFont val="Calibri"/>
        <family val="2"/>
        <charset val="238"/>
      </rPr>
      <t>kd</t>
    </r>
    <r>
      <rPr>
        <sz val="11"/>
        <color theme="1"/>
        <rFont val="Calibri"/>
        <family val="2"/>
        <charset val="238"/>
        <scheme val="minor"/>
      </rPr>
      <t xml:space="preserve"> = CK x F</t>
    </r>
  </si>
  <si>
    <r>
      <t xml:space="preserve">           Pevná měsíční cena za denní rezervovanou pevnou měsíční distribuční kapacitu </t>
    </r>
    <r>
      <rPr>
        <b/>
        <sz val="11"/>
        <color indexed="8"/>
        <rFont val="Calibri"/>
        <family val="2"/>
        <charset val="238"/>
      </rPr>
      <t>C</t>
    </r>
    <r>
      <rPr>
        <b/>
        <vertAlign val="subscript"/>
        <sz val="11"/>
        <color indexed="8"/>
        <rFont val="Calibri"/>
        <family val="2"/>
        <charset val="238"/>
      </rPr>
      <t>kd</t>
    </r>
  </si>
  <si>
    <t>Kalendářní měsíc</t>
  </si>
  <si>
    <t>F</t>
  </si>
  <si>
    <t>Led, Únor, Pros</t>
  </si>
  <si>
    <t>Bře, Lis</t>
  </si>
  <si>
    <t>Dub, Kvě, Čer, Čvc, Srp, Zář, Říj</t>
  </si>
  <si>
    <t>13.4 Ceny za denní rezervovanou pevnou klouzavou distribuční kapacitu</t>
  </si>
  <si>
    <t xml:space="preserve">          Pevná cena za odbraný plyn je shodná s cenou dle bodu 13.1.2. Pevná cena za denní</t>
  </si>
  <si>
    <t xml:space="preserve">          rezervovanou pevnou klouzavou distribuční kapacitu kalendářního měsíce, ve kterém</t>
  </si>
  <si>
    <r>
      <rPr>
        <b/>
        <sz val="11"/>
        <color indexed="8"/>
        <rFont val="Calibri"/>
        <family val="2"/>
        <charset val="238"/>
      </rPr>
      <t>CK</t>
    </r>
    <r>
      <rPr>
        <b/>
        <vertAlign val="subscript"/>
        <sz val="11"/>
        <color indexed="8"/>
        <rFont val="Calibri"/>
        <family val="2"/>
        <charset val="238"/>
      </rPr>
      <t>K</t>
    </r>
    <r>
      <rPr>
        <sz val="11"/>
        <color theme="1"/>
        <rFont val="Calibri"/>
        <family val="2"/>
        <charset val="238"/>
        <scheme val="minor"/>
      </rPr>
      <t xml:space="preserve"> = CK x F</t>
    </r>
    <r>
      <rPr>
        <vertAlign val="subscript"/>
        <sz val="11"/>
        <color indexed="8"/>
        <rFont val="Calibri"/>
        <family val="2"/>
        <charset val="238"/>
      </rPr>
      <t>a</t>
    </r>
    <r>
      <rPr>
        <sz val="11"/>
        <color theme="1"/>
        <rFont val="Calibri"/>
        <family val="2"/>
        <charset val="238"/>
        <scheme val="minor"/>
      </rPr>
      <t xml:space="preserve"> x F</t>
    </r>
    <r>
      <rPr>
        <vertAlign val="subscript"/>
        <sz val="11"/>
        <color indexed="8"/>
        <rFont val="Calibri"/>
        <family val="2"/>
        <charset val="238"/>
      </rPr>
      <t>s</t>
    </r>
  </si>
  <si>
    <t>Fa je poměr počtu dnů účinnosti rezervace</t>
  </si>
  <si>
    <t>k počtu dnů kalendářního měsíce</t>
  </si>
  <si>
    <t>Fs je faktor distribuční kapacity daného</t>
  </si>
  <si>
    <t>kalendářního měsíce</t>
  </si>
  <si>
    <r>
      <t>F</t>
    </r>
    <r>
      <rPr>
        <vertAlign val="subscript"/>
        <sz val="11"/>
        <color indexed="8"/>
        <rFont val="Calibri"/>
        <family val="2"/>
        <charset val="238"/>
      </rPr>
      <t>s</t>
    </r>
  </si>
  <si>
    <r>
      <t>13.1.2.1 Pevná roční cena za denní rezervovanou pevnou distribuční kapacitu</t>
    </r>
    <r>
      <rPr>
        <b/>
        <sz val="11"/>
        <color indexed="8"/>
        <rFont val="Calibri"/>
        <family val="2"/>
        <charset val="238"/>
      </rPr>
      <t xml:space="preserve"> CK</t>
    </r>
    <r>
      <rPr>
        <sz val="11"/>
        <color theme="1"/>
        <rFont val="Calibri"/>
        <family val="2"/>
        <charset val="238"/>
        <scheme val="minor"/>
      </rPr>
      <t xml:space="preserve"> v Kč/tis. m</t>
    </r>
    <r>
      <rPr>
        <vertAlign val="superscript"/>
        <sz val="11"/>
        <color indexed="8"/>
        <rFont val="Calibri"/>
        <family val="2"/>
        <charset val="238"/>
      </rPr>
      <t>3</t>
    </r>
    <r>
      <rPr>
        <sz val="11"/>
        <color theme="1"/>
        <rFont val="Calibri"/>
        <family val="2"/>
        <charset val="238"/>
        <scheme val="minor"/>
      </rPr>
      <t xml:space="preserve"> určená vzorcem</t>
    </r>
  </si>
  <si>
    <r>
      <rPr>
        <b/>
        <sz val="11"/>
        <color indexed="8"/>
        <rFont val="Calibri"/>
        <family val="2"/>
        <charset val="238"/>
      </rPr>
      <t>CK</t>
    </r>
    <r>
      <rPr>
        <sz val="11"/>
        <color theme="1"/>
        <rFont val="Calibri"/>
        <family val="2"/>
        <charset val="238"/>
        <scheme val="minor"/>
      </rPr>
      <t xml:space="preserve"> = (a + b x ln</t>
    </r>
    <r>
      <rPr>
        <i/>
        <sz val="11"/>
        <color indexed="8"/>
        <rFont val="Calibri"/>
        <family val="2"/>
        <charset val="238"/>
      </rPr>
      <t>k</t>
    </r>
    <r>
      <rPr>
        <sz val="11"/>
        <color theme="1"/>
        <rFont val="Calibri"/>
        <family val="2"/>
        <charset val="238"/>
        <scheme val="minor"/>
      </rPr>
      <t>) x 1000</t>
    </r>
  </si>
  <si>
    <t>kWh</t>
  </si>
  <si>
    <t xml:space="preserve">13.9 Pokud zákazník rezervuje kapacitu nižší než </t>
  </si>
  <si>
    <t xml:space="preserve">pak se cena za </t>
  </si>
  <si>
    <r>
      <t>m</t>
    </r>
    <r>
      <rPr>
        <vertAlign val="superscript"/>
        <sz val="11"/>
        <color indexed="8"/>
        <rFont val="Calibri"/>
        <family val="2"/>
        <charset val="238"/>
      </rPr>
      <t>3</t>
    </r>
    <r>
      <rPr>
        <sz val="11"/>
        <color theme="1"/>
        <rFont val="Calibri"/>
        <family val="2"/>
        <charset val="238"/>
        <scheme val="minor"/>
      </rPr>
      <t>/den</t>
    </r>
  </si>
  <si>
    <t>Koeficienty</t>
  </si>
  <si>
    <t>kontrola</t>
  </si>
  <si>
    <r>
      <t xml:space="preserve">           v Kč/tis. m</t>
    </r>
    <r>
      <rPr>
        <vertAlign val="superscript"/>
        <sz val="11"/>
        <color indexed="8"/>
        <rFont val="Calibri"/>
        <family val="2"/>
        <charset val="238"/>
      </rPr>
      <t>3</t>
    </r>
    <r>
      <rPr>
        <sz val="11"/>
        <color theme="1"/>
        <rFont val="Calibri"/>
        <family val="2"/>
        <charset val="238"/>
        <scheme val="minor"/>
      </rPr>
      <t xml:space="preserve"> pro měsíc, ve kterém je rezervace účinná, se určí podle vzorce</t>
    </r>
  </si>
  <si>
    <r>
      <t xml:space="preserve">          je rezervace pevné klouzavé kapacity účinná, </t>
    </r>
    <r>
      <rPr>
        <b/>
        <sz val="11"/>
        <color indexed="8"/>
        <rFont val="Calibri"/>
        <family val="2"/>
        <charset val="238"/>
      </rPr>
      <t>CK</t>
    </r>
    <r>
      <rPr>
        <b/>
        <vertAlign val="subscript"/>
        <sz val="11"/>
        <color indexed="8"/>
        <rFont val="Calibri"/>
        <family val="2"/>
        <charset val="238"/>
      </rPr>
      <t>K</t>
    </r>
    <r>
      <rPr>
        <sz val="11"/>
        <color theme="1"/>
        <rFont val="Calibri"/>
        <family val="2"/>
        <charset val="238"/>
        <scheme val="minor"/>
      </rPr>
      <t xml:space="preserve"> v Kč/tis. m</t>
    </r>
    <r>
      <rPr>
        <vertAlign val="superscript"/>
        <sz val="11"/>
        <color indexed="8"/>
        <rFont val="Calibri"/>
        <family val="2"/>
        <charset val="238"/>
      </rPr>
      <t>3</t>
    </r>
    <r>
      <rPr>
        <sz val="11"/>
        <color theme="1"/>
        <rFont val="Calibri"/>
        <family val="2"/>
        <charset val="238"/>
        <scheme val="minor"/>
      </rPr>
      <t xml:space="preserve"> je vypočtena podle vzorce</t>
    </r>
  </si>
  <si>
    <r>
      <t xml:space="preserve">             pevná distribuční kapacita v odběrném místě</t>
    </r>
    <r>
      <rPr>
        <b/>
        <sz val="11"/>
        <color indexed="8"/>
        <rFont val="Calibri"/>
        <family val="2"/>
        <charset val="238"/>
      </rPr>
      <t xml:space="preserve"> RK</t>
    </r>
    <r>
      <rPr>
        <b/>
        <vertAlign val="subscript"/>
        <sz val="11"/>
        <color indexed="8"/>
        <rFont val="Calibri"/>
        <family val="2"/>
        <charset val="238"/>
      </rPr>
      <t>C</t>
    </r>
    <r>
      <rPr>
        <sz val="11"/>
        <color theme="1"/>
        <rFont val="Calibri"/>
        <family val="2"/>
        <charset val="238"/>
        <scheme val="minor"/>
      </rPr>
      <t xml:space="preserve"> v tis. m</t>
    </r>
    <r>
      <rPr>
        <vertAlign val="superscript"/>
        <sz val="11"/>
        <color indexed="8"/>
        <rFont val="Calibri"/>
        <family val="2"/>
        <charset val="238"/>
      </rPr>
      <t>3</t>
    </r>
    <r>
      <rPr>
        <sz val="11"/>
        <color theme="1"/>
        <rFont val="Calibri"/>
        <family val="2"/>
        <charset val="238"/>
        <scheme val="minor"/>
      </rPr>
      <t xml:space="preserve">, se určí podle vzorce </t>
    </r>
  </si>
  <si>
    <t>Kapacita</t>
  </si>
  <si>
    <t>13.3 Ceny za denní rezervovanou přerušitelnou distribuční kapacitu do OM zákazníka</t>
  </si>
  <si>
    <t xml:space="preserve">           v Kč/tis. m3 je shodná s pevnou cenou za denní rezervovanou pevnou distribuční kapacitu</t>
  </si>
  <si>
    <t xml:space="preserve">          CK podle bodu 13.1.2. Za k se považuje součet všech denních rezervovaných pevných a </t>
  </si>
  <si>
    <t xml:space="preserve">          přerušitelných kapacit na dobu neurčitou a měsíčních distribučních kapacit.</t>
  </si>
  <si>
    <t>13.3.1.1 Pevná cena za denní rezervovanou přerušitelnou distribuční kapacitu na dobu neurčitou</t>
  </si>
  <si>
    <t xml:space="preserve">13.3.1.2 Pevná cena za denní rezervovanou přerušitelnou měsíční distribuční kapacitu </t>
  </si>
  <si>
    <t xml:space="preserve">           v Kč/tis. m3 je shodná s pevnou cenou za denní rezervovanou pevnou měsíční distribuční </t>
  </si>
  <si>
    <t xml:space="preserve">           kapacitu podle bodu 13.2. Za k se považuje součet všech denních rezervovaných pevných a  </t>
  </si>
  <si>
    <t xml:space="preserve">          přerušitelných kapacit na dobu neurčitou.</t>
  </si>
  <si>
    <t>Současná sazba DPH</t>
  </si>
  <si>
    <t>%</t>
  </si>
  <si>
    <t xml:space="preserve">13.1.9 Zákazník, pro jehož odběrné místo je stanovena cena podle bodu 13.1.2 může požádat o cenu </t>
  </si>
  <si>
    <t>Distribuované množství plynu</t>
  </si>
  <si>
    <t>Denní rezervovaná pevná kapacita měsíční 1</t>
  </si>
  <si>
    <t>Denní rezervovaná pevná kapacita měsíční 2</t>
  </si>
  <si>
    <t>Denní rezervovaná pevná kapacita měsíční 3</t>
  </si>
  <si>
    <t>Denní rezervovaná pevná kapacita měsíční 4</t>
  </si>
  <si>
    <t>Denní rezervovaná pevná kapacita měsíční 5</t>
  </si>
  <si>
    <t>Denní rezervovaná pevná kapacita klouzavá 1</t>
  </si>
  <si>
    <t>Denní rezervovaná pevná kapacita klouzavá 2</t>
  </si>
  <si>
    <t>Denní rezervovaná pevná kapacita klouzavá 3</t>
  </si>
  <si>
    <t>Denní rezervovaná pevná kapacita klouzavá 4</t>
  </si>
  <si>
    <t>Denní rezervovaná pevná kapacita klouzavá 5</t>
  </si>
  <si>
    <t>Koeficient pro výpočet denní rezervované distribuční kapacity - měsíční:</t>
  </si>
  <si>
    <t>Zobrazované ceny jsou bez DPH.</t>
  </si>
  <si>
    <t>Množství</t>
  </si>
  <si>
    <t>MJ</t>
  </si>
  <si>
    <t>Cena za MJ bez DHP (Kč)</t>
  </si>
  <si>
    <t>Celkem bez DPH (Kč)</t>
  </si>
  <si>
    <t>Výpočet za období</t>
  </si>
  <si>
    <t>Připojení k síti</t>
  </si>
  <si>
    <r>
      <t>m</t>
    </r>
    <r>
      <rPr>
        <b/>
        <vertAlign val="superscript"/>
        <sz val="10"/>
        <color indexed="8"/>
        <rFont val="Arial"/>
        <family val="2"/>
        <charset val="238"/>
      </rPr>
      <t>3</t>
    </r>
  </si>
  <si>
    <r>
      <t>Maximální dosažený denní odběr v předchozím dvouletém</t>
    </r>
    <r>
      <rPr>
        <b/>
        <sz val="10"/>
        <color indexed="8"/>
        <rFont val="Arial"/>
        <family val="2"/>
        <charset val="238"/>
      </rPr>
      <t xml:space="preserve"> </t>
    </r>
    <r>
      <rPr>
        <sz val="10"/>
        <color indexed="8"/>
        <rFont val="Arial"/>
        <family val="2"/>
        <charset val="238"/>
      </rPr>
      <t xml:space="preserve">období </t>
    </r>
  </si>
  <si>
    <t>Cena za MJ bez DPH (Kč)</t>
  </si>
  <si>
    <t>Výpočet</t>
  </si>
  <si>
    <t>Datum rezervace Od (dd.mm.rrrr)</t>
  </si>
  <si>
    <t>Datum rezervace Od (dd.mm.rrrr.)</t>
  </si>
  <si>
    <t>Datum rezervace Do (vyber ze seznamu)</t>
  </si>
  <si>
    <r>
      <t>Kč /m</t>
    </r>
    <r>
      <rPr>
        <vertAlign val="superscript"/>
        <sz val="11"/>
        <color indexed="8"/>
        <rFont val="Calibri"/>
        <family val="2"/>
        <charset val="238"/>
      </rPr>
      <t>3</t>
    </r>
  </si>
  <si>
    <t xml:space="preserve">13.8. Minimální cena za RDK </t>
  </si>
  <si>
    <t>Distribuované množství plynu za zvolené období</t>
  </si>
  <si>
    <t>Provozovatel distribuční soustavy - síť</t>
  </si>
  <si>
    <r>
      <t xml:space="preserve">         kapacitu rovná ceně za kapacitu ve výši 519 m</t>
    </r>
    <r>
      <rPr>
        <vertAlign val="superscript"/>
        <sz val="11"/>
        <color indexed="8"/>
        <rFont val="Calibri"/>
        <family val="2"/>
        <charset val="238"/>
      </rPr>
      <t>3</t>
    </r>
    <r>
      <rPr>
        <sz val="11"/>
        <color theme="1"/>
        <rFont val="Calibri"/>
        <family val="2"/>
        <charset val="238"/>
        <scheme val="minor"/>
      </rPr>
      <t>/den.</t>
    </r>
  </si>
  <si>
    <t>měsíční A</t>
  </si>
  <si>
    <t>měsíční B</t>
  </si>
  <si>
    <t>měsíční C</t>
  </si>
  <si>
    <t>měsíční D</t>
  </si>
  <si>
    <t>měsíční E</t>
  </si>
  <si>
    <t>překročení</t>
  </si>
  <si>
    <t>Denní rezervovaná pevná kapacita ve výši historického denního maxima</t>
  </si>
  <si>
    <t>Koeficienty cenového vzorce- M3R</t>
  </si>
  <si>
    <t>Poplatek za činnosti Operátora trhu</t>
  </si>
  <si>
    <t>GasNet</t>
  </si>
  <si>
    <t>GasNet, s.r.o.</t>
  </si>
  <si>
    <r>
      <t>hodnota s je 10,69 kWh/m</t>
    </r>
    <r>
      <rPr>
        <vertAlign val="superscript"/>
        <sz val="11"/>
        <color indexed="8"/>
        <rFont val="Calibri"/>
        <family val="2"/>
        <charset val="238"/>
      </rPr>
      <t>3</t>
    </r>
  </si>
  <si>
    <t>a+ 5%</t>
  </si>
  <si>
    <t>Vypočtená cena za distribuci plynu dle zadaných hodnot kapacit a komodity platí pro období od 1. 1. 2022 do 31. 12. 2022.</t>
  </si>
  <si>
    <t>OK 2022</t>
  </si>
  <si>
    <r>
      <t>(10.3) Cena za rezervovanou pevnou přepravní kapacitu na dobu neurčitou</t>
    </r>
    <r>
      <rPr>
        <b/>
        <sz val="11"/>
        <color indexed="8"/>
        <rFont val="Calibri"/>
        <family val="2"/>
        <charset val="238"/>
      </rPr>
      <t xml:space="preserve"> CPPZ-n</t>
    </r>
    <r>
      <rPr>
        <sz val="11"/>
        <color theme="1"/>
        <rFont val="Calibri"/>
        <family val="2"/>
        <charset val="238"/>
        <scheme val="minor"/>
      </rPr>
      <t xml:space="preserve"> za MWh/den je</t>
    </r>
  </si>
  <si>
    <t>GasNet &lt; 500 000</t>
  </si>
  <si>
    <t xml:space="preserve">  &gt; 500 000 =&lt; 1 000 000 MWh</t>
  </si>
  <si>
    <t>Pokyny k vyplnění:</t>
  </si>
  <si>
    <t xml:space="preserve">Pro kontrolu výpočtu vyplnit pouze žluté buňky.  </t>
  </si>
  <si>
    <t>Modré buňky A42 - K51 na tomto listu doplnit při změně cenového rozhodnutí novými platnými cenami a počátečním datumem do B43!</t>
  </si>
  <si>
    <t>zámek:</t>
  </si>
  <si>
    <t>osspk</t>
  </si>
  <si>
    <t>sazba VO za cenu MO je v kalkulačce MODOM</t>
  </si>
  <si>
    <t xml:space="preserve">NADLIMITNÍ SPOTŘEBA </t>
  </si>
  <si>
    <r>
      <rPr>
        <b/>
        <sz val="11"/>
        <color indexed="8"/>
        <rFont val="Calibri"/>
        <family val="2"/>
        <charset val="238"/>
      </rPr>
      <t>ROZMEZÍ součtu spotřeb od 1.1. pro určení nadlimitní ceny</t>
    </r>
    <r>
      <rPr>
        <sz val="11"/>
        <color theme="1"/>
        <rFont val="Calibri"/>
        <family val="2"/>
        <charset val="238"/>
        <scheme val="minor"/>
      </rPr>
      <t xml:space="preserve">  </t>
    </r>
  </si>
  <si>
    <t>GHQSPKWH</t>
  </si>
  <si>
    <t xml:space="preserve">Ceník </t>
  </si>
  <si>
    <t>NGAS</t>
  </si>
  <si>
    <t>Typ napojení</t>
  </si>
  <si>
    <t>dálkovod</t>
  </si>
  <si>
    <t>leden</t>
  </si>
  <si>
    <t>Fakturovaný měsíc</t>
  </si>
  <si>
    <t>únor</t>
  </si>
  <si>
    <t>zúčtované období</t>
  </si>
  <si>
    <t>březen</t>
  </si>
  <si>
    <t>celkový počet dní ve faktur.měsíci</t>
  </si>
  <si>
    <t>ZÁKLADNÍ a pomocná data</t>
  </si>
  <si>
    <t>ceny NGAS</t>
  </si>
  <si>
    <t>ceny EON</t>
  </si>
  <si>
    <t>FAKTURA</t>
  </si>
  <si>
    <t>duben</t>
  </si>
  <si>
    <t>skutečný počet fakturovaných dní</t>
  </si>
  <si>
    <t>DÁLKOVOD</t>
  </si>
  <si>
    <t>ZD vytřídění</t>
  </si>
  <si>
    <t>květen</t>
  </si>
  <si>
    <t>Je dané OM předávací místo?</t>
  </si>
  <si>
    <t>NE</t>
  </si>
  <si>
    <t>Je dané OM CNG VO?</t>
  </si>
  <si>
    <t>Kapacita celkem pro výpočet</t>
  </si>
  <si>
    <t>Rozmezí součtu kapacit - pro vzorec výp.CENY kapacit</t>
  </si>
  <si>
    <t>Rozmezí součtu kapacit - pro vzorec výp.ceny PŘEKROČENÍ</t>
  </si>
  <si>
    <t>OD</t>
  </si>
  <si>
    <t>DO</t>
  </si>
  <si>
    <t>Koef</t>
  </si>
  <si>
    <t>KK1</t>
  </si>
  <si>
    <t>KK2</t>
  </si>
  <si>
    <t>KK3</t>
  </si>
  <si>
    <t>KK4</t>
  </si>
  <si>
    <t>KK5</t>
  </si>
  <si>
    <t>KK - vypočtený koef.</t>
  </si>
  <si>
    <t>Cena MJ bez C pro překročení</t>
  </si>
  <si>
    <t>Cena MJ</t>
  </si>
  <si>
    <t>cena celkem</t>
  </si>
  <si>
    <t>hotnoty na faktuře</t>
  </si>
  <si>
    <t>červen</t>
  </si>
  <si>
    <t>% snížení kapacity (COVID SLEVA r.2020)</t>
  </si>
  <si>
    <t>KOMODITA (kWh)</t>
  </si>
  <si>
    <t>červenec</t>
  </si>
  <si>
    <t>výše kapacity před snížením</t>
  </si>
  <si>
    <t>M3R kapacita</t>
  </si>
  <si>
    <t>srpen</t>
  </si>
  <si>
    <t xml:space="preserve">PŘEKROČENÍ </t>
  </si>
  <si>
    <t>roční AB</t>
  </si>
  <si>
    <t>září</t>
  </si>
  <si>
    <t>Kap Celkem pro vyhodnocení</t>
  </si>
  <si>
    <t>roční C</t>
  </si>
  <si>
    <t>říjen</t>
  </si>
  <si>
    <t>tolerance pro překročení</t>
  </si>
  <si>
    <t>roční přerušit.</t>
  </si>
  <si>
    <t>listopad</t>
  </si>
  <si>
    <t>denní max.toler.spotř.</t>
  </si>
  <si>
    <t>Celkem bez M3R</t>
  </si>
  <si>
    <t>prosinec</t>
  </si>
  <si>
    <t>hodinová max.toler.spotř.</t>
  </si>
  <si>
    <t>celkem v MWh</t>
  </si>
  <si>
    <t>den Dmax</t>
  </si>
  <si>
    <t>Dmax hodinové</t>
  </si>
  <si>
    <t>chybí do 500</t>
  </si>
  <si>
    <t>dosažené Dmax v m3</t>
  </si>
  <si>
    <t>hodinově</t>
  </si>
  <si>
    <t>% překročení</t>
  </si>
  <si>
    <t>Překročení v m3 nad 3,8%</t>
  </si>
  <si>
    <t>měsíční přeruš. 1</t>
  </si>
  <si>
    <t>Překročení pro výpočet</t>
  </si>
  <si>
    <t>měsíční přeruš. 2</t>
  </si>
  <si>
    <t>je nastaven operand G0FLDNPREK</t>
  </si>
  <si>
    <t>ano</t>
  </si>
  <si>
    <t>měsíční přeruš. 3</t>
  </si>
  <si>
    <t>měsíční přeruš. 4</t>
  </si>
  <si>
    <t>měsíční přeruš. 5</t>
  </si>
  <si>
    <t>pomocné pro vyhodnoc.překročení</t>
  </si>
  <si>
    <t>klouz.A</t>
  </si>
  <si>
    <t>klouz.B</t>
  </si>
  <si>
    <t>PŘEKROČENÍ pro výrobce</t>
  </si>
  <si>
    <t>klouz.C</t>
  </si>
  <si>
    <t>klouz.D</t>
  </si>
  <si>
    <t>klouz.E</t>
  </si>
  <si>
    <t>xxx</t>
  </si>
  <si>
    <t>OTE</t>
  </si>
  <si>
    <t>xx</t>
  </si>
  <si>
    <t>dosažené Dmax</t>
  </si>
  <si>
    <t>Celkem bez DPH</t>
  </si>
  <si>
    <t>Celkem s DPH</t>
  </si>
  <si>
    <t>Překročení nad 3,8%</t>
  </si>
  <si>
    <t>Výrobce</t>
  </si>
  <si>
    <t>ne</t>
  </si>
  <si>
    <t>Celkem S DPH</t>
  </si>
  <si>
    <t>Zeleně - přepsáno na nové ceny. Červeně - změna oproti loňskému roku. Červně - vzorce nebo beze změny</t>
  </si>
  <si>
    <t>Hodnoty z platného cenového rozhodnutí platné od:</t>
  </si>
  <si>
    <t>Cena komodita</t>
  </si>
  <si>
    <t>KAPACITA Dálkovod</t>
  </si>
  <si>
    <t>Vzorec</t>
  </si>
  <si>
    <t>společnost</t>
  </si>
  <si>
    <t>Kč/kWh</t>
  </si>
  <si>
    <t>A</t>
  </si>
  <si>
    <t>A pro M3R</t>
  </si>
  <si>
    <t>B</t>
  </si>
  <si>
    <t>&lt;= 200 000 m3</t>
  </si>
  <si>
    <r>
      <t>CK=(a+b*ln k)</t>
    </r>
    <r>
      <rPr>
        <sz val="11"/>
        <color indexed="40"/>
        <rFont val="Calibri"/>
        <family val="2"/>
        <charset val="238"/>
      </rPr>
      <t xml:space="preserve">*1000 </t>
    </r>
  </si>
  <si>
    <t>&gt;200 000 m3 &lt;= 600 000 m3</t>
  </si>
  <si>
    <r>
      <t>CK=(((a+b*ln k)*200 000)+((CPPZ-n*10,69*</t>
    </r>
    <r>
      <rPr>
        <sz val="11"/>
        <color indexed="10"/>
        <rFont val="Calibri"/>
        <family val="2"/>
        <charset val="238"/>
      </rPr>
      <t>2,4</t>
    </r>
    <r>
      <rPr>
        <sz val="11"/>
        <rFont val="Calibri"/>
        <family val="2"/>
      </rPr>
      <t>)/1000*(k-200 000)))/k*1000</t>
    </r>
  </si>
  <si>
    <t>EON</t>
  </si>
  <si>
    <t>&gt;600 000 m3</t>
  </si>
  <si>
    <r>
      <t>CK=(((a+b*ln k)*200 000)+((CPPZ-n*10,69*</t>
    </r>
    <r>
      <rPr>
        <sz val="11"/>
        <color indexed="10"/>
        <rFont val="Calibri"/>
        <family val="2"/>
        <charset val="238"/>
      </rPr>
      <t>2,4</t>
    </r>
    <r>
      <rPr>
        <sz val="11"/>
        <color theme="1"/>
        <rFont val="Calibri"/>
        <family val="2"/>
        <charset val="238"/>
        <scheme val="minor"/>
      </rPr>
      <t>)/1000</t>
    </r>
    <r>
      <rPr>
        <b/>
        <sz val="11"/>
        <color indexed="8"/>
        <rFont val="Calibri"/>
        <family val="2"/>
        <charset val="238"/>
      </rPr>
      <t>*400 000)+((CPPZ-n*10,69*</t>
    </r>
    <r>
      <rPr>
        <b/>
        <sz val="11"/>
        <color indexed="10"/>
        <rFont val="Calibri"/>
        <family val="2"/>
        <charset val="238"/>
      </rPr>
      <t>1,59</t>
    </r>
    <r>
      <rPr>
        <b/>
        <sz val="11"/>
        <color indexed="8"/>
        <rFont val="Calibri"/>
        <family val="2"/>
        <charset val="238"/>
      </rPr>
      <t>)/1000*(k-600 000)))/k</t>
    </r>
    <r>
      <rPr>
        <sz val="11"/>
        <color theme="1"/>
        <rFont val="Calibri"/>
        <family val="2"/>
        <charset val="238"/>
        <scheme val="minor"/>
      </rPr>
      <t>*1000</t>
    </r>
  </si>
  <si>
    <t>CNG Ngas</t>
  </si>
  <si>
    <t>CNG EON</t>
  </si>
  <si>
    <t>NADLIMITNÍ SPOTŘEBA</t>
  </si>
  <si>
    <t>&gt; 500 000 MWh</t>
  </si>
  <si>
    <t xml:space="preserve">  &gt; 1 000 000 =&lt; 1 500 000 MWh</t>
  </si>
  <si>
    <t>KAPACITA Místní síť</t>
  </si>
  <si>
    <t xml:space="preserve">  &gt; 1 500 000 MWh</t>
  </si>
  <si>
    <t>NENÍ NADLIMIT</t>
  </si>
  <si>
    <t xml:space="preserve">CK=(a+b*ln k)*1000 </t>
  </si>
  <si>
    <t>Poplatek OTE</t>
  </si>
  <si>
    <t>Cena OTE z CR za zúčtování</t>
  </si>
  <si>
    <r>
      <rPr>
        <b/>
        <sz val="11"/>
        <color indexed="8"/>
        <rFont val="Calibri"/>
        <family val="2"/>
        <charset val="238"/>
      </rPr>
      <t>CPPZ-n</t>
    </r>
    <r>
      <rPr>
        <sz val="11"/>
        <color theme="1"/>
        <rFont val="Calibri"/>
        <family val="2"/>
        <charset val="238"/>
        <scheme val="minor"/>
      </rPr>
      <t xml:space="preserve"> (Kč/MWh/den)</t>
    </r>
  </si>
  <si>
    <r>
      <t>CK=(((a+b*ln k)*200 000)+((CPPZ-n*10,69*</t>
    </r>
    <r>
      <rPr>
        <sz val="11"/>
        <color indexed="10"/>
        <rFont val="Calibri"/>
        <family val="2"/>
        <charset val="238"/>
      </rPr>
      <t>3,29</t>
    </r>
    <r>
      <rPr>
        <sz val="11"/>
        <rFont val="Calibri"/>
        <family val="2"/>
      </rPr>
      <t>)/1000*(k-200 000)))/k*1000</t>
    </r>
  </si>
  <si>
    <t>Kč/m3</t>
  </si>
  <si>
    <t>Cena popl. z nařízení vlády č.392 392 ze dne 14. prosince 2015</t>
  </si>
  <si>
    <r>
      <t>CK=(((a+b*ln k)*200 000)+((CPPZ-n*10,69*</t>
    </r>
    <r>
      <rPr>
        <sz val="11"/>
        <color indexed="10"/>
        <rFont val="Calibri"/>
        <family val="2"/>
        <charset val="238"/>
      </rPr>
      <t>3,29</t>
    </r>
    <r>
      <rPr>
        <sz val="11"/>
        <color theme="1"/>
        <rFont val="Calibri"/>
        <family val="2"/>
        <charset val="238"/>
        <scheme val="minor"/>
      </rPr>
      <t>)/1000*400 000)+((CPPZ-n*10,69*</t>
    </r>
    <r>
      <rPr>
        <sz val="11"/>
        <color indexed="10"/>
        <rFont val="Calibri"/>
        <family val="2"/>
        <charset val="238"/>
      </rPr>
      <t>2,69</t>
    </r>
    <r>
      <rPr>
        <sz val="11"/>
        <color theme="1"/>
        <rFont val="Calibri"/>
        <family val="2"/>
        <charset val="238"/>
        <scheme val="minor"/>
      </rPr>
      <t>)/1000*(k-600 000)))/k*1000</t>
    </r>
  </si>
  <si>
    <t>min.cena za RDK a PDK</t>
  </si>
  <si>
    <t>40000 Kč/tis.m3</t>
  </si>
  <si>
    <t>min.denní kapacita m3/den</t>
  </si>
  <si>
    <t>pomocný datum konce ZO</t>
  </si>
  <si>
    <t>pořadové číslo měsíce</t>
  </si>
  <si>
    <t xml:space="preserve">Koeficient pro výpočet: </t>
  </si>
  <si>
    <t>počet dní ve fakturovaném měsíci</t>
  </si>
  <si>
    <t>měsíční kapacity</t>
  </si>
  <si>
    <t>klouzavá</t>
  </si>
  <si>
    <t>první den v měsíci</t>
  </si>
  <si>
    <t>finální max.datum KK + poč.dní fakt.měsíce</t>
  </si>
  <si>
    <t>13.4) Ceny za denní rezervovanou pevnou klouzavou distribuční kapacitu</t>
  </si>
  <si>
    <t>Finální datum pro ověř.dat</t>
  </si>
  <si>
    <t>maximální datum konce KK - konec násl.měsíce začátku sjednané KK</t>
  </si>
  <si>
    <t>minimální datum konce KK - plus celkový počet dní měsíce začátku KK</t>
  </si>
  <si>
    <t>začátek KK</t>
  </si>
  <si>
    <t>EG.D, a.s.</t>
  </si>
  <si>
    <t>místní síť</t>
  </si>
  <si>
    <t>'Výpočet ceny distribuce'!</t>
  </si>
  <si>
    <t>Výpočet ceny distribuce'!</t>
  </si>
  <si>
    <t>KDYŽ('Výpočet ceny distribuce'!!B5='kalkulačka pro klasik a špičk.'!C45;'kalkulačka pro klasik a špičk.'!D45;KDYŽ('Výpočet ceny distribuce'!!B5='kalkulačka pro klasik a špičk.'!C46;'kalkulačka pro klasik a špičk.'!D46;""))</t>
  </si>
  <si>
    <t>maximální datum začátku KK. 2.kal.den předcház.měsíce</t>
  </si>
  <si>
    <t>minimální datum začátku KK - konec fakt.měsíce</t>
  </si>
  <si>
    <t>měsíc zjišťování ceny KK resp.fakturace</t>
  </si>
  <si>
    <t>počet dní KK ve zjišťovaném měsíci</t>
  </si>
  <si>
    <t>pomocný pro zjištění počtu dní KK v daném měsíci</t>
  </si>
  <si>
    <t>Vyhodnocení nadlimitu komodity:</t>
  </si>
  <si>
    <r>
      <t>Seznam sazeb</t>
    </r>
    <r>
      <rPr>
        <sz val="11"/>
        <color theme="1"/>
        <rFont val="Calibri"/>
        <family val="2"/>
        <charset val="238"/>
        <scheme val="minor"/>
      </rPr>
      <t xml:space="preserve"> z pohledu, jestli u nich má smysl vyhodnocovat nadlimitní cenu</t>
    </r>
  </si>
  <si>
    <t xml:space="preserve">- pro fakturaci se pro vyhodnocení nadlimitu bere součet předchozích fakturovaných spotřeb v daném roce tj. mimo poslední spotřeby, která je fakturována. </t>
  </si>
  <si>
    <t>Červených se změna netýká, zde není potřeba dělat úpravy, u ostatních dle komentáře:</t>
  </si>
  <si>
    <t xml:space="preserve">- pro plány záloh se pro vyhodnocení nadlimitu bere součet všech fakturovaných spotřeb v daném roce VČETNĚ dané faktury, které je PZ součástí. </t>
  </si>
  <si>
    <r>
      <t xml:space="preserve">    </t>
    </r>
    <r>
      <rPr>
        <sz val="11"/>
        <color rgb="FFFF0000"/>
        <rFont val="Calibri"/>
        <family val="2"/>
        <charset val="238"/>
        <scheme val="minor"/>
      </rPr>
      <t>G20VJSDPRD               VO20 Přeruš./rekon. jednosl. DI (nulová)</t>
    </r>
  </si>
  <si>
    <t xml:space="preserve">- pro agregované zálohy se vyhodnocení nadlimitu postupuje stejně jako u plánu záloh. </t>
  </si>
  <si>
    <t>    G20VJSD__D               VO20 Jednosložková distribuce – vyjmuta z úpravy dle CR</t>
  </si>
  <si>
    <t>G20VCNGPRD            VO20 Přeruš./rekonstr. CNG (nulová)</t>
  </si>
  <si>
    <t>Vyhodnocení nadlimitu kapacity:</t>
  </si>
  <si>
    <t>G20VCNG__D            VO20 Sazba pro CNG – účtuje se pouze komodita a má vlastní ceník</t>
  </si>
  <si>
    <t xml:space="preserve">nadlimit může být různý pro roční kapacity, měsíční, klouzavé i pro přerušení. </t>
  </si>
  <si>
    <t>G20VDODPRD            VO20 Přeruš./rekonstr. dodávka DI (kap.)</t>
  </si>
  <si>
    <t xml:space="preserve">pro roční kapacity se nadlimit vyhodnocuje součtem všech ročních kapacit tj. roční AB + roční C + roční přerušit. </t>
  </si>
  <si>
    <t>G20VDOD__D            VO20 Dodávka – účtuje se pouze kapacita a má vlastní ceník</t>
  </si>
  <si>
    <t>pro všechny měsíční kapacity se nadlimit vyhodnocuje součtem všech výše uvedených ročních kapacit a všech měsíčních kapacit klasických i přerušitelných</t>
  </si>
  <si>
    <t>G20VMO___D           VO20 Sazba ceny MO – účtují se ceny MO, úprava se ho netýká</t>
  </si>
  <si>
    <t>pro kouzavé kapacity se nadlimit vyhodnocuje součtem všech výše uvedených ročních a měsíčních kapacit a pak dle období sjednání se postupně nasčítávají klouzavé kapacity, každá klouzavá kapacita tedy může být v jiném pásmu nadlimitu</t>
  </si>
  <si>
    <t>G20VNEKA_D             VO20 Sazba bez kapacity – pouze cena za komoditu</t>
  </si>
  <si>
    <t>pro překročení se nadlimit vyhodnocuje součtem ročních kapacit bez kapacity C a součtem všech měsíčních kapacit, klouzavá kapacita se nasčítá pouze ta, která je ke dni překročení nasmlouvaná, takže může mít nižší pásmo než všechny kapacity dohromady viz příklad na IGQ OM 2246000029, fa za 06/2021, kdy překročení bylo 2.6.</t>
  </si>
  <si>
    <t>G20VNEPL_D              VO20 Neplacení (kapacita) – pouze cena za kapacitu</t>
  </si>
  <si>
    <t>G20VNULL_D              VO20 Nulová sazba – neúčtuje se kapacita ani komodita</t>
  </si>
  <si>
    <t>G20VPHP__D             VO20 Přeshraniční plynovod 2016 – má vlastní definici ceny</t>
  </si>
  <si>
    <t>G20VPRET_D              VO20 Interní přetoky – pouze se vyčíslují spotřeby bez naceněné</t>
  </si>
  <si>
    <t>G20VREKN_D             VO20 Rekonstrukce (kapacita) – pouze cena za kapacitu</t>
  </si>
  <si>
    <t>G20VZKU__D             VO20 Zkušební provoz</t>
  </si>
  <si>
    <t>G20V_____D              VO20 Běžná sazba (vč. Kapacity dle hist. maxima)</t>
  </si>
  <si>
    <t>Specifika v ZD:</t>
  </si>
  <si>
    <t xml:space="preserve">- celková hodnota nadlimitu komodity uvedena v ZD na řádku ZLIMSP  nadlimitní spotřebaU AZ i když je v ZD </t>
  </si>
  <si>
    <t>- detail vyhodnocení nadlimitu kapacitu je uveden v ZD: Přehled dokladu, řádek ZLOG00 a klik na číslo řádku, Záložka Doplňková data. Příklad k tomuto OM, ZD 1221022975 řádek ZD u překročení dohledám řádek ZLOG00 s hodnotou částky ceny náležící pro překročení:</t>
  </si>
  <si>
    <t>číslo 1 je hodnota součtu kapacit pro vyhodnocení nadlimitu</t>
  </si>
  <si>
    <t>číslo 2 je koeficient B</t>
  </si>
  <si>
    <t>číslo 3 je koeficient A</t>
  </si>
  <si>
    <t>číslo 4 je hodnota minimální kapacity dle CR</t>
  </si>
  <si>
    <t>číslo 5 je minimální min.cena za kapacitu dle CR</t>
  </si>
  <si>
    <t>číslo 6 je hodnota CPPZ-n (Kč/MWh/den) dle CR</t>
  </si>
  <si>
    <t>Hodnoty z platného cenového rozhodnutí</t>
  </si>
  <si>
    <t>sazba</t>
  </si>
  <si>
    <t>...VJSD__D</t>
  </si>
  <si>
    <t>(13.1.10)</t>
  </si>
  <si>
    <t>roční cena za denní rezervovanou pevnou distribuční kapacitu stanovená podle
vzorce v bodě (13.1.2.1) písmene a) nebo (13.1.2.2) písmene a)</t>
  </si>
  <si>
    <t>CR 13.1.10.</t>
  </si>
  <si>
    <t>cena za komoditu Kč/kWH</t>
  </si>
  <si>
    <t>Koeficienty DV</t>
  </si>
  <si>
    <t>Koeficienty MS</t>
  </si>
  <si>
    <t>Společnost</t>
  </si>
  <si>
    <t>poplatek OTE</t>
  </si>
  <si>
    <t>kap. s tolerancí pro překročení</t>
  </si>
  <si>
    <t>distribuované kWH</t>
  </si>
  <si>
    <t>Dosažené denní maximum</t>
  </si>
  <si>
    <t>oprávněnost prokázána</t>
  </si>
  <si>
    <t>kapacita pro překročení</t>
  </si>
  <si>
    <t>kapacita pro AB</t>
  </si>
  <si>
    <t>vyp.kap.pro C</t>
  </si>
  <si>
    <t>kap.celkem</t>
  </si>
  <si>
    <t>výše překročení</t>
  </si>
  <si>
    <t>kapacita pro výpočet CK</t>
  </si>
  <si>
    <t>koeficient překročení</t>
  </si>
  <si>
    <t>120% M2R (dvouleté maximum)</t>
  </si>
  <si>
    <t>M2R v m3</t>
  </si>
  <si>
    <t>fakturované období</t>
  </si>
  <si>
    <t>výsledek fakturace pro různé účetní okruhy a připojení</t>
  </si>
  <si>
    <t xml:space="preserve">sazba za kWh pro špičkový odběr dle CR musí být minimálně </t>
  </si>
  <si>
    <t>způsob napojení</t>
  </si>
  <si>
    <t>CK (cena za kapacitu dle log. modelu)</t>
  </si>
  <si>
    <t>CK (cena za překročení)</t>
  </si>
  <si>
    <t>Pomocná sazba (CK/427,6)</t>
  </si>
  <si>
    <t>Pomocná minimální sazba CK/(40*s) = CK/ (40*10,69) = CK/427,6</t>
  </si>
  <si>
    <t>sazba za kWh pro špičkový odběr</t>
  </si>
  <si>
    <t>cena za distribuci</t>
  </si>
  <si>
    <t>cena OTE</t>
  </si>
  <si>
    <t>cena za překročení</t>
  </si>
  <si>
    <t>celkem bez DPH</t>
  </si>
  <si>
    <t>např. 3240001426, 3240001255 (bez hist. Do 11/2015)</t>
  </si>
  <si>
    <t>např. OM 6240233064 (mix) Bohemia Asfalt, 3240001323</t>
  </si>
  <si>
    <t>Měnit se dají pouze žluté rámečky, ostatní se dopočte</t>
  </si>
  <si>
    <r>
      <t xml:space="preserve">Přiřazení ceny, výpočet faktury  (kalkulačka) 
• Překročení 
• Cena za komoditu.                                                                         Nastavení data splatnosti a DUZP, celkový vzhled dokladu dle vzoru, kontrola výstupů na Printcentru.
</t>
    </r>
    <r>
      <rPr>
        <sz val="9"/>
        <color rgb="FFFF0000"/>
        <rFont val="Arial"/>
        <family val="2"/>
        <charset val="238"/>
      </rPr>
      <t xml:space="preserve">Možnosti výpočtu jednotkové ceny:      </t>
    </r>
    <r>
      <rPr>
        <sz val="9"/>
        <color theme="1"/>
        <rFont val="Arial"/>
        <family val="2"/>
        <charset val="238"/>
      </rPr>
      <t xml:space="preserve">                                                           • Na základě sjednané hodnoty kapacity uvedené v žádosti o RDK (</t>
    </r>
    <r>
      <rPr>
        <b/>
        <sz val="9"/>
        <color indexed="8"/>
        <rFont val="Arial"/>
        <family val="2"/>
        <charset val="238"/>
      </rPr>
      <t>uvedené v operandu G0QMAXNM3</t>
    </r>
    <r>
      <rPr>
        <sz val="9"/>
        <color indexed="8"/>
        <rFont val="Arial"/>
        <family val="2"/>
        <charset val="238"/>
      </rPr>
      <t xml:space="preserve">) v případě, že </t>
    </r>
    <r>
      <rPr>
        <sz val="9"/>
        <color rgb="FF00B050"/>
        <rFont val="Arial"/>
        <family val="2"/>
        <charset val="238"/>
      </rPr>
      <t xml:space="preserve">sjednané hodnota nepřesáhne </t>
    </r>
    <r>
      <rPr>
        <sz val="9"/>
        <color indexed="8"/>
        <rFont val="Arial"/>
        <family val="2"/>
        <charset val="238"/>
      </rPr>
      <t xml:space="preserve">maximálně dosaženou hodnotu dvouletého maxima (klouzavé období dle zúčtovacího období) </t>
    </r>
    <r>
      <rPr>
        <sz val="9"/>
        <color rgb="FF00B050"/>
        <rFont val="Arial"/>
        <family val="2"/>
        <charset val="238"/>
      </rPr>
      <t>a v případě, kdy nejsou u zákazníka známy odběry plynu za předchozí 2leté období</t>
    </r>
    <r>
      <rPr>
        <sz val="9"/>
        <color indexed="8"/>
        <rFont val="Arial"/>
        <family val="2"/>
        <charset val="238"/>
      </rPr>
      <t xml:space="preserve">
• Na základě maximálně dosažené hodnoty dvouletého maxima (</t>
    </r>
    <r>
      <rPr>
        <b/>
        <sz val="9"/>
        <color indexed="8"/>
        <rFont val="Arial"/>
        <family val="2"/>
        <charset val="238"/>
      </rPr>
      <t>klouzavé období dle zúčtovacího období uvedené v operandu GHUHM2RNM3</t>
    </r>
    <r>
      <rPr>
        <sz val="9"/>
        <color indexed="8"/>
        <rFont val="Arial"/>
        <family val="2"/>
        <charset val="238"/>
      </rPr>
      <t xml:space="preserve">) v případě že </t>
    </r>
    <r>
      <rPr>
        <sz val="9"/>
        <color rgb="FF00B050"/>
        <rFont val="Arial"/>
        <family val="2"/>
        <charset val="238"/>
      </rPr>
      <t>sjednané hodnota přesáhla hodnotu dvouletého maxima.</t>
    </r>
    <r>
      <rPr>
        <sz val="9"/>
        <color indexed="8"/>
        <rFont val="Arial"/>
        <family val="2"/>
        <charset val="238"/>
      </rPr>
      <t xml:space="preserve">
• </t>
    </r>
    <r>
      <rPr>
        <sz val="9"/>
        <color rgb="FFFF0000"/>
        <rFont val="Arial"/>
        <family val="2"/>
        <charset val="238"/>
      </rPr>
      <t xml:space="preserve">Vždy na základě sjednané hodnoty kapacity uvedené v žádosti o RDK </t>
    </r>
    <r>
      <rPr>
        <b/>
        <sz val="9"/>
        <color rgb="FFFF0000"/>
        <rFont val="Arial"/>
        <family val="2"/>
        <charset val="238"/>
      </rPr>
      <t>(uvedené v operandu G0QMAXNM3</t>
    </r>
    <r>
      <rPr>
        <sz val="9"/>
        <color rgb="FFFF0000"/>
        <rFont val="Arial"/>
        <family val="2"/>
        <charset val="238"/>
      </rPr>
      <t>) v případě, že sjednané hodnota byla zákazníkem prokázána</t>
    </r>
    <r>
      <rPr>
        <sz val="9"/>
        <color indexed="8"/>
        <rFont val="Arial"/>
        <family val="2"/>
        <charset val="238"/>
      </rPr>
      <t xml:space="preserve"> (</t>
    </r>
    <r>
      <rPr>
        <b/>
        <sz val="9"/>
        <color indexed="8"/>
        <rFont val="Arial"/>
        <family val="2"/>
        <charset val="238"/>
      </rPr>
      <t>tato hodnoty je v systému ZIS ošetřena platností operandu G0FKAPPROK</t>
    </r>
    <r>
      <rPr>
        <sz val="9"/>
        <color indexed="8"/>
        <rFont val="Arial"/>
        <family val="2"/>
        <charset val="238"/>
      </rPr>
      <t xml:space="preserve">. </t>
    </r>
  </si>
  <si>
    <t>Na faktuře jsou vidět pouze hodnoty označené modře, ostatní jsou pomocné mezivýpočty</t>
  </si>
  <si>
    <t>Pravidla fakturace pro špičkový odběr:</t>
  </si>
  <si>
    <r>
      <t xml:space="preserve">cena pouze za komoditu, sazba za kWh se počítá spec. cenovým vzorcem v Kč/MWh: </t>
    </r>
    <r>
      <rPr>
        <b/>
        <sz val="11"/>
        <color theme="1"/>
        <rFont val="Calibri"/>
        <family val="2"/>
        <charset val="238"/>
        <scheme val="minor"/>
      </rPr>
      <t>Cjedn = CK/(40×s) + Ckom + 20</t>
    </r>
  </si>
  <si>
    <r>
      <t>pro výpočet komodity se CK je roční cena za RDK stanoví podle vzorce v bodě (13.1.2.1) písmene a) nebo (13.1.2.2) písmene a) tj</t>
    </r>
    <r>
      <rPr>
        <b/>
        <sz val="11"/>
        <color rgb="FF7030A0"/>
        <rFont val="Calibri"/>
        <family val="2"/>
        <charset val="238"/>
        <scheme val="minor"/>
      </rPr>
      <t>.vždy má cenu pro kapacitu do 200 000 m3</t>
    </r>
    <r>
      <rPr>
        <sz val="11"/>
        <color rgb="FF7030A0"/>
        <rFont val="Calibri"/>
        <family val="2"/>
        <charset val="238"/>
        <scheme val="minor"/>
      </rPr>
      <t xml:space="preserve"> dle vzorce v Kč/tis. m3: </t>
    </r>
    <r>
      <rPr>
        <b/>
        <sz val="11"/>
        <color rgb="FF7030A0"/>
        <rFont val="Calibri"/>
        <family val="2"/>
        <charset val="238"/>
        <scheme val="minor"/>
      </rPr>
      <t>CK=(a+b*ln k)*1000</t>
    </r>
  </si>
  <si>
    <t>neplatí cenu za kapacitu</t>
  </si>
  <si>
    <r>
      <rPr>
        <sz val="11"/>
        <color rgb="FFFF0000"/>
        <rFont val="Calibri"/>
        <family val="2"/>
        <charset val="238"/>
        <scheme val="minor"/>
      </rPr>
      <t>nemůže</t>
    </r>
    <r>
      <rPr>
        <sz val="11"/>
        <color theme="1"/>
        <rFont val="Calibri"/>
        <family val="2"/>
        <charset val="238"/>
        <scheme val="minor"/>
      </rPr>
      <t xml:space="preserve"> mít měsíční kapacitu, klouzavou kapacitu, ale </t>
    </r>
    <r>
      <rPr>
        <sz val="11"/>
        <color rgb="FFFF0000"/>
        <rFont val="Calibri"/>
        <family val="2"/>
        <charset val="238"/>
        <scheme val="minor"/>
      </rPr>
      <t>počítá se mu překročení</t>
    </r>
  </si>
  <si>
    <t>Úprava výpočtu jednosložkové kapacity v r.2012</t>
  </si>
  <si>
    <r>
      <t>1.</t>
    </r>
    <r>
      <rPr>
        <sz val="7"/>
        <color rgb="FF000000"/>
        <rFont val="Times New Roman"/>
        <family val="1"/>
        <charset val="238"/>
      </rPr>
      <t xml:space="preserve">       </t>
    </r>
    <r>
      <rPr>
        <sz val="11"/>
        <color rgb="FF000000"/>
        <rFont val="Calibri"/>
        <family val="2"/>
        <charset val="238"/>
      </rPr>
      <t xml:space="preserve">Pokud je výše kapacity prokázána, počítá se cena jednosložkové kapacity ze smluvní kapacity  </t>
    </r>
  </si>
  <si>
    <r>
      <t>2.</t>
    </r>
    <r>
      <rPr>
        <sz val="7"/>
        <color rgb="FF000000"/>
        <rFont val="Times New Roman"/>
        <family val="1"/>
        <charset val="238"/>
      </rPr>
      <t xml:space="preserve">       </t>
    </r>
    <r>
      <rPr>
        <sz val="11"/>
        <color rgb="FF000000"/>
        <rFont val="Calibri"/>
        <family val="2"/>
        <charset val="238"/>
      </rPr>
      <t>Pokud výše prokázána není:</t>
    </r>
  </si>
  <si>
    <r>
      <t>A)</t>
    </r>
    <r>
      <rPr>
        <sz val="7"/>
        <color rgb="FF000000"/>
        <rFont val="Times New Roman"/>
        <family val="1"/>
        <charset val="238"/>
      </rPr>
      <t xml:space="preserve">     </t>
    </r>
    <r>
      <rPr>
        <sz val="11"/>
        <color rgb="FF000000"/>
        <rFont val="Calibri"/>
        <family val="2"/>
        <charset val="238"/>
      </rPr>
      <t>počítá se klouzavé dvouleté denní maximum M2R;</t>
    </r>
  </si>
  <si>
    <r>
      <t>B)</t>
    </r>
    <r>
      <rPr>
        <sz val="7"/>
        <color rgb="FF000000"/>
        <rFont val="Times New Roman"/>
        <family val="1"/>
        <charset val="238"/>
      </rPr>
      <t xml:space="preserve">      </t>
    </r>
    <r>
      <rPr>
        <sz val="11"/>
        <color rgb="FF000000"/>
        <rFont val="Calibri"/>
        <family val="2"/>
        <charset val="238"/>
      </rPr>
      <t xml:space="preserve">pokud smluvní kapacita &lt;= 120% M2R,  počítá se cena kapacity ze smluvní kapacity  </t>
    </r>
  </si>
  <si>
    <r>
      <t>C)</t>
    </r>
    <r>
      <rPr>
        <sz val="7"/>
        <color rgb="FF000000"/>
        <rFont val="Times New Roman"/>
        <family val="1"/>
        <charset val="238"/>
      </rPr>
      <t xml:space="preserve">      </t>
    </r>
    <r>
      <rPr>
        <sz val="11"/>
        <color rgb="FF000000"/>
        <rFont val="Calibri"/>
        <family val="2"/>
        <charset val="238"/>
      </rPr>
      <t xml:space="preserve">pokud smluvní kapacita &gt; 120% M2R, </t>
    </r>
    <r>
      <rPr>
        <sz val="11"/>
        <color rgb="FFFF0000"/>
        <rFont val="Calibri"/>
        <family val="2"/>
        <charset val="238"/>
      </rPr>
      <t>počítá se cena kapacity ze 120% M2R;</t>
    </r>
  </si>
  <si>
    <r>
      <t xml:space="preserve">Typy sazby: </t>
    </r>
    <r>
      <rPr>
        <b/>
        <sz val="11"/>
        <color rgb="FF000000"/>
        <rFont val="Calibri"/>
        <family val="2"/>
        <charset val="238"/>
      </rPr>
      <t>G11VJSD__D</t>
    </r>
    <r>
      <rPr>
        <sz val="11"/>
        <color rgb="FF000000"/>
        <rFont val="Calibri"/>
        <family val="2"/>
        <charset val="238"/>
      </rPr>
      <t xml:space="preserve"> - VO11 distribuce jednosložkově distribuce</t>
    </r>
  </si>
  <si>
    <r>
      <t xml:space="preserve">Nový operand s příznakem, že výše kapacity je prokázána </t>
    </r>
    <r>
      <rPr>
        <b/>
        <sz val="11"/>
        <color rgb="FF000000"/>
        <rFont val="Calibri"/>
        <family val="2"/>
        <charset val="238"/>
      </rPr>
      <t>G0FKAPPROK.</t>
    </r>
  </si>
  <si>
    <r>
      <t xml:space="preserve">Nový operand s vypočteným dvouletým maximem do fakt OM - </t>
    </r>
    <r>
      <rPr>
        <b/>
        <sz val="11"/>
        <color rgb="FF000000"/>
        <rFont val="Calibri"/>
        <family val="2"/>
        <charset val="238"/>
      </rPr>
      <t>GHUHM2RNM3.</t>
    </r>
  </si>
  <si>
    <t>Do ZD přidán nový infořádek ZQKPM2, ve kterém se zaznamenává vypočtená hodnota.</t>
  </si>
  <si>
    <t>jakákoli faktura včetně NOP by měla projít kontrolou, zda pro výpočet kapacity C jsou k dispozici údaje za celé rozhodné období a pokud nejsou, tak hledat hodnotu kapacity C v G0QSCMANM3. Pokud není naplněný, zobrazit chybu.</t>
  </si>
  <si>
    <t>VOSO měření C a MO z dálkovodu měsíční (měs.logar.sazby)</t>
  </si>
  <si>
    <t>VOSO za cenu a MO (sazba G6VMO____D)</t>
  </si>
  <si>
    <t>Cena za komoditu a kapacitu je dle ceníku pro VOSO</t>
  </si>
  <si>
    <t>Cena za komoditu a kapacitu je dle ceníku pro MODOM</t>
  </si>
  <si>
    <t>Od</t>
  </si>
  <si>
    <t>Do</t>
  </si>
  <si>
    <t>Počet dní</t>
  </si>
  <si>
    <t>Denní kapacita dle CR</t>
  </si>
  <si>
    <t>Spotřeba dle GHQSPNM3A</t>
  </si>
  <si>
    <t>Vypočtená kapacita</t>
  </si>
  <si>
    <t>Příklady OM/TD</t>
  </si>
  <si>
    <t>logar. externí</t>
  </si>
  <si>
    <t>…..ML___MD</t>
  </si>
  <si>
    <t>OM</t>
  </si>
  <si>
    <t>td</t>
  </si>
  <si>
    <t>TD</t>
  </si>
  <si>
    <t>logar.interní</t>
  </si>
  <si>
    <t>ANO</t>
  </si>
  <si>
    <t>Nadlimitní spotřeba (NS)</t>
  </si>
  <si>
    <t>Nadlimitní spotřeba</t>
  </si>
  <si>
    <t>Vyhodnocovaný měsíc</t>
  </si>
  <si>
    <t>suchdol</t>
  </si>
  <si>
    <t>&lt;= 500 000 MWh</t>
  </si>
  <si>
    <t>Místní Síť (MS)</t>
  </si>
  <si>
    <t>Dálkovod (DV)</t>
  </si>
  <si>
    <t>Nadlimitní spotřeba final texty pro výběr</t>
  </si>
  <si>
    <t>Rozmezí pro DV/MS</t>
  </si>
  <si>
    <t>final vyhodnocení</t>
  </si>
  <si>
    <t>napojení</t>
  </si>
  <si>
    <t>PDS</t>
  </si>
  <si>
    <t>pomocný pro dohledání final hodnot</t>
  </si>
  <si>
    <t>přihlaš. Od</t>
  </si>
  <si>
    <t>vzorky</t>
  </si>
  <si>
    <t>výše kapacity je prokázána G0FKAPPROK prokázána</t>
  </si>
  <si>
    <t>Cena za distribuci plynu celkem bez DPH pro jednosložkový tarif</t>
  </si>
  <si>
    <t>MS</t>
  </si>
  <si>
    <t>DV</t>
  </si>
  <si>
    <t>pro MS i DV</t>
  </si>
  <si>
    <t>Cena za službu distribuční soustavy celkem bez DPH</t>
  </si>
  <si>
    <t xml:space="preserve">Cena celkem bez DPH pro běžný tarif </t>
  </si>
  <si>
    <t>Překročení denní rezervované kapacity</t>
  </si>
  <si>
    <t>Koeficient pro výpočet platby za překročení:</t>
  </si>
  <si>
    <t>Denní rezervovaná pevná kapacita (pro měření typu C)</t>
  </si>
  <si>
    <t>Denní rezervovaná pevná kapacita na dobu neurčitou (pro měření typu A a B)</t>
  </si>
  <si>
    <t>kontrola zadání</t>
  </si>
  <si>
    <t>SVYHLEDAT($K$5;I50:K50;3;NEPRAVDA)</t>
  </si>
  <si>
    <t>ovládací prvky pro M3R</t>
  </si>
  <si>
    <t>Počet období</t>
  </si>
  <si>
    <t>Období měsíce</t>
  </si>
  <si>
    <t>Výše přepočtené spotřeby v m³ ke dni překročení</t>
  </si>
  <si>
    <t>pouze pro špičk.odběr</t>
  </si>
  <si>
    <r>
      <t>D)</t>
    </r>
    <r>
      <rPr>
        <sz val="7"/>
        <color rgb="FF000000"/>
        <rFont val="Times New Roman"/>
        <family val="1"/>
        <charset val="238"/>
      </rPr>
      <t xml:space="preserve">     </t>
    </r>
    <r>
      <rPr>
        <sz val="11"/>
        <color rgb="FF000000"/>
        <rFont val="Calibri"/>
        <family val="2"/>
        <charset val="238"/>
      </rPr>
      <t xml:space="preserve">pokud </t>
    </r>
    <r>
      <rPr>
        <sz val="11"/>
        <color rgb="FFFF0000"/>
        <rFont val="Calibri"/>
        <family val="2"/>
        <charset val="238"/>
      </rPr>
      <t>neexistuje dvouletá historie</t>
    </r>
    <r>
      <rPr>
        <sz val="11"/>
        <color rgb="FF000000"/>
        <rFont val="Calibri"/>
        <family val="2"/>
        <charset val="238"/>
      </rPr>
      <t xml:space="preserve">, počítá se cena kapacity ze smluvní kapacity </t>
    </r>
  </si>
  <si>
    <t>Předávací místo mezi distribučními soustavami (LDS,RDS)</t>
  </si>
  <si>
    <t>Leden</t>
  </si>
  <si>
    <t>Únor</t>
  </si>
  <si>
    <t>Březen</t>
  </si>
  <si>
    <t>Duben</t>
  </si>
  <si>
    <t>Květen</t>
  </si>
  <si>
    <t>Červen</t>
  </si>
  <si>
    <t>Červenec</t>
  </si>
  <si>
    <t>Srpen</t>
  </si>
  <si>
    <t>Září</t>
  </si>
  <si>
    <t>Říjen</t>
  </si>
  <si>
    <t>Prosinec</t>
  </si>
  <si>
    <t>Listopad</t>
  </si>
  <si>
    <t>Součet spotřeb aktuálního roku od 1.1.</t>
  </si>
  <si>
    <t xml:space="preserve">do konce předcházejícího měsíce </t>
  </si>
  <si>
    <t>pro určení nadlimitní ceny</t>
  </si>
  <si>
    <t>Druh OM/odběru</t>
  </si>
  <si>
    <t>CNG VOSO</t>
  </si>
  <si>
    <t>Předávací místo mezi DS (LDS,RDS)</t>
  </si>
  <si>
    <t>Zkušební provoz</t>
  </si>
  <si>
    <t>Běžný</t>
  </si>
  <si>
    <t>Typ tarifu</t>
  </si>
  <si>
    <t>Hradec1</t>
  </si>
  <si>
    <t>Koeficient pro výpočet klouzavé kapacity:</t>
  </si>
  <si>
    <t xml:space="preserve">
Je-li hodnota denní rezervované kapacity na dobu neurčitou vyšší než 120 % maximálního 
dosaženého odběru v předchozím 2-letém období nebo nejsou známy odběry plynu za předchozí 2-leté období
- prokázali jste oprávněnost požadavku?
</t>
  </si>
  <si>
    <t>Při výběru typu tarifu "Zkušební provoz" zadejte v řádku 35 "Výši přepočtené spotřeby v tomto dni."</t>
  </si>
  <si>
    <t>Texty pro jednotlivé typy</t>
  </si>
  <si>
    <t>Výrobna plynu</t>
  </si>
  <si>
    <t xml:space="preserve"> Spotřeba v nm3 (měření C)</t>
  </si>
  <si>
    <t>Výpočet měsíční platby za denní přidělenou pevnou distribuční kapacitu dle CR 13.1.14.2</t>
  </si>
  <si>
    <t>Kalkulačka ceny VOSO za distribuci pro rok 2022 dle CR ERU - běžný tarif, CNG VOSO, Zkušební provoz, Předávací místo mezi DS (LDS,RDS), Výrobna plynu</t>
  </si>
  <si>
    <t xml:space="preserve">Kalkulačka ceny VOSO za distribuci pro rok 2022 dle CR ERU - jednosložkový tarif dle bodu 13.1.10 </t>
  </si>
  <si>
    <t>Došlo k překročení denní rezervované distribuční kapacity ve zkušebním provozu, proto bylo pro výpočet měsíční platby za denní rezervovanou distribuční kapacitu použita cena CK, pro jejíž stanovení se za "k" dosadil dosažený maximální denní odběr.</t>
  </si>
  <si>
    <t>Den s maximální spotřebou (dd.mm.rrrr.)</t>
  </si>
  <si>
    <t>U typu tarifu LDS/RDS vyplňte výši překročení pouze pokud pokud jste nesplinili podmínku, že denní rezervovaná pevná distribuční kapacita je nižší než nejvyšší skutečně dosažený denní odběr plynu v období od 1. října 2018 do 30. září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</si>
</sst>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0.00\ &quot;Kč&quot;;[Red]\-#,##0.00\ &quot;Kč&quot;"/>
    <numFmt numFmtId="164" formatCode="_-* #,##0.00\ _K_č_-;\-* #,##0.00\ _K_č_-;_-* &quot;-&quot;??\ _K_č_-;_-@_-"/>
    <numFmt numFmtId="165" formatCode="0.0000"/>
    <numFmt numFmtId="166" formatCode="0.00000"/>
    <numFmt numFmtId="167" formatCode="#,##0.00000"/>
    <numFmt numFmtId="168" formatCode="_-* #,##0.00000\ _K_č_-;\-* #,##0.00000\ _K_č_-;_-* &quot;-&quot;?????\ _K_č_-;_-@_-"/>
    <numFmt numFmtId="169" formatCode="#,##0.000"/>
    <numFmt numFmtId="170" formatCode="0.0"/>
    <numFmt numFmtId="171" formatCode="0.000"/>
    <numFmt numFmtId="172" formatCode="0.0000%"/>
    <numFmt numFmtId="173" formatCode="[$-405]mmmm\ yy;@"/>
    <numFmt numFmtId="174" formatCode="_-* #,##0_-;\-* #,##0_-;_-* &quot;-&quot;??_-;_-@_-"/>
    <numFmt numFmtId="175" formatCode="_-* #,##0.0000\ _K_č_-;\-* #,##0.0000\ _K_č_-;_-* &quot;-&quot;????\ _K_č_-;_-@_-"/>
    <numFmt numFmtId="176" formatCode="_-* #,##0.00000\ _K_č_-;\-* #,##0.00000\ _K_č_-;_-* &quot;-&quot;??\ _K_č_-;_-@_-"/>
    <numFmt numFmtId="177" formatCode="0.00000%"/>
  </numFmts>
  <fonts count="96" x14ac:knownFonts="1">
    <font>
      <sz val="11"/>
      <color theme="1"/>
      <name val="Calibri"/>
      <family val="2"/>
      <charset val="238"/>
      <scheme val="minor"/>
    </font>
    <font>
      <b/>
      <sz val="11"/>
      <color indexed="8"/>
      <name val="Calibri"/>
      <family val="2"/>
      <charset val="238"/>
    </font>
    <font>
      <vertAlign val="superscript"/>
      <sz val="11"/>
      <color indexed="8"/>
      <name val="Calibri"/>
      <family val="2"/>
      <charset val="238"/>
    </font>
    <font>
      <i/>
      <sz val="11"/>
      <color indexed="8"/>
      <name val="Calibri"/>
      <family val="2"/>
      <charset val="238"/>
    </font>
    <font>
      <b/>
      <i/>
      <sz val="11"/>
      <color indexed="8"/>
      <name val="Calibri"/>
      <family val="2"/>
      <charset val="238"/>
    </font>
    <font>
      <vertAlign val="subscript"/>
      <sz val="11"/>
      <color indexed="8"/>
      <name val="Calibri"/>
      <family val="2"/>
      <charset val="238"/>
    </font>
    <font>
      <b/>
      <vertAlign val="subscript"/>
      <sz val="11"/>
      <color indexed="8"/>
      <name val="Calibri"/>
      <family val="2"/>
      <charset val="238"/>
    </font>
    <font>
      <sz val="10"/>
      <color indexed="8"/>
      <name val="Arial"/>
      <family val="2"/>
      <charset val="238"/>
    </font>
    <font>
      <b/>
      <vertAlign val="superscript"/>
      <sz val="10"/>
      <color indexed="8"/>
      <name val="Arial"/>
      <family val="2"/>
      <charset val="238"/>
    </font>
    <font>
      <b/>
      <sz val="10"/>
      <color indexed="8"/>
      <name val="Arial"/>
      <family val="2"/>
      <charset val="238"/>
    </font>
    <font>
      <b/>
      <sz val="16"/>
      <name val="Arial"/>
      <family val="2"/>
      <charset val="238"/>
    </font>
    <font>
      <sz val="11"/>
      <name val="Arial"/>
      <family val="2"/>
      <charset val="238"/>
    </font>
    <font>
      <sz val="11"/>
      <color indexed="10"/>
      <name val="Calibri"/>
      <family val="2"/>
      <charset val="238"/>
    </font>
    <font>
      <sz val="10"/>
      <name val="Arial"/>
      <family val="2"/>
      <charset val="238"/>
    </font>
    <font>
      <sz val="11"/>
      <color indexed="40"/>
      <name val="Calibri"/>
      <family val="2"/>
      <charset val="238"/>
    </font>
    <font>
      <sz val="11"/>
      <name val="Calibri"/>
      <family val="2"/>
    </font>
    <font>
      <b/>
      <sz val="11"/>
      <color indexed="10"/>
      <name val="Calibri"/>
      <family val="2"/>
      <charset val="238"/>
    </font>
    <font>
      <sz val="9"/>
      <color indexed="81"/>
      <name val="Tahoma"/>
      <family val="2"/>
      <charset val="238"/>
    </font>
    <font>
      <b/>
      <sz val="9"/>
      <color indexed="81"/>
      <name val="Tahoma"/>
      <family val="2"/>
      <charset val="238"/>
    </font>
    <font>
      <b/>
      <sz val="8"/>
      <color indexed="81"/>
      <name val="Tahoma"/>
      <family val="2"/>
      <charset val="238"/>
    </font>
    <font>
      <sz val="8"/>
      <color indexed="81"/>
      <name val="Tahoma"/>
      <family val="2"/>
      <charset val="238"/>
    </font>
    <font>
      <b/>
      <i/>
      <sz val="9"/>
      <color indexed="81"/>
      <name val="Tahoma"/>
      <family val="2"/>
      <charset val="238"/>
    </font>
    <font>
      <sz val="11"/>
      <color theme="1"/>
      <name val="Calibri"/>
      <family val="2"/>
      <charset val="238"/>
      <scheme val="minor"/>
    </font>
    <font>
      <b/>
      <sz val="11"/>
      <color theme="1"/>
      <name val="Calibri"/>
      <family val="2"/>
      <charset val="238"/>
      <scheme val="minor"/>
    </font>
    <font>
      <sz val="11"/>
      <color rgb="FFFF0000"/>
      <name val="Calibri"/>
      <family val="2"/>
      <charset val="238"/>
      <scheme val="minor"/>
    </font>
    <font>
      <sz val="11"/>
      <name val="Calibri"/>
      <family val="2"/>
      <charset val="238"/>
      <scheme val="minor"/>
    </font>
    <font>
      <b/>
      <sz val="16"/>
      <color theme="1"/>
      <name val="Arial"/>
      <family val="2"/>
      <charset val="238"/>
    </font>
    <font>
      <sz val="11"/>
      <color theme="1"/>
      <name val="Arial"/>
      <family val="2"/>
      <charset val="238"/>
    </font>
    <font>
      <b/>
      <sz val="11"/>
      <color theme="1"/>
      <name val="Arial"/>
      <family val="2"/>
      <charset val="238"/>
    </font>
    <font>
      <b/>
      <sz val="11"/>
      <color theme="0"/>
      <name val="Arial"/>
      <family val="2"/>
      <charset val="238"/>
    </font>
    <font>
      <sz val="11"/>
      <color theme="0"/>
      <name val="Arial"/>
      <family val="2"/>
      <charset val="238"/>
    </font>
    <font>
      <sz val="10"/>
      <color theme="1"/>
      <name val="Arial"/>
      <family val="2"/>
      <charset val="238"/>
    </font>
    <font>
      <b/>
      <sz val="10"/>
      <color theme="1"/>
      <name val="Arial"/>
      <family val="2"/>
      <charset val="238"/>
    </font>
    <font>
      <b/>
      <sz val="16"/>
      <color theme="0"/>
      <name val="Arial"/>
      <family val="2"/>
      <charset val="238"/>
    </font>
    <font>
      <sz val="12"/>
      <color rgb="FFFF0000"/>
      <name val="Calibri"/>
      <family val="2"/>
      <charset val="238"/>
      <scheme val="minor"/>
    </font>
    <font>
      <b/>
      <sz val="11"/>
      <color rgb="FF7030A0"/>
      <name val="Calibri"/>
      <family val="2"/>
      <charset val="238"/>
      <scheme val="minor"/>
    </font>
    <font>
      <sz val="11"/>
      <color theme="0" tint="-0.34998626667073579"/>
      <name val="Calibri"/>
      <family val="2"/>
      <charset val="238"/>
      <scheme val="minor"/>
    </font>
    <font>
      <sz val="12"/>
      <color rgb="FF00B0F0"/>
      <name val="Calibri"/>
      <family val="2"/>
      <charset val="238"/>
      <scheme val="minor"/>
    </font>
    <font>
      <sz val="11"/>
      <color theme="0" tint="-0.249977111117893"/>
      <name val="Calibri"/>
      <family val="2"/>
      <charset val="238"/>
      <scheme val="minor"/>
    </font>
    <font>
      <sz val="12"/>
      <color theme="1"/>
      <name val="Calibri"/>
      <family val="2"/>
      <charset val="238"/>
      <scheme val="minor"/>
    </font>
    <font>
      <b/>
      <sz val="12"/>
      <color theme="1"/>
      <name val="Calibri"/>
      <family val="2"/>
      <charset val="238"/>
      <scheme val="minor"/>
    </font>
    <font>
      <sz val="12"/>
      <name val="Calibri"/>
      <family val="2"/>
      <charset val="238"/>
      <scheme val="minor"/>
    </font>
    <font>
      <b/>
      <sz val="10"/>
      <color theme="1"/>
      <name val="Calibri"/>
      <family val="2"/>
      <charset val="238"/>
      <scheme val="minor"/>
    </font>
    <font>
      <b/>
      <sz val="12"/>
      <color rgb="FF00B050"/>
      <name val="Calibri"/>
      <family val="2"/>
      <charset val="238"/>
      <scheme val="minor"/>
    </font>
    <font>
      <sz val="12"/>
      <color rgb="FF00B050"/>
      <name val="Calibri"/>
      <family val="2"/>
      <charset val="238"/>
      <scheme val="minor"/>
    </font>
    <font>
      <sz val="11"/>
      <color theme="0" tint="-0.499984740745262"/>
      <name val="Calibri"/>
      <family val="2"/>
      <charset val="238"/>
      <scheme val="minor"/>
    </font>
    <font>
      <b/>
      <sz val="11"/>
      <color theme="0" tint="-0.499984740745262"/>
      <name val="Calibri"/>
      <family val="2"/>
      <charset val="238"/>
      <scheme val="minor"/>
    </font>
    <font>
      <sz val="10"/>
      <color theme="1"/>
      <name val="Times New Roman"/>
      <family val="1"/>
      <charset val="238"/>
    </font>
    <font>
      <sz val="11"/>
      <color rgb="FF00B0F0"/>
      <name val="Calibri"/>
      <family val="2"/>
      <charset val="238"/>
      <scheme val="minor"/>
    </font>
    <font>
      <b/>
      <sz val="12"/>
      <name val="Calibri"/>
      <family val="2"/>
      <charset val="238"/>
      <scheme val="minor"/>
    </font>
    <font>
      <sz val="11"/>
      <color rgb="FF00B050"/>
      <name val="Calibri"/>
      <family val="2"/>
      <charset val="238"/>
      <scheme val="minor"/>
    </font>
    <font>
      <b/>
      <sz val="11"/>
      <color rgb="FF00B050"/>
      <name val="Calibri"/>
      <family val="2"/>
      <charset val="238"/>
      <scheme val="minor"/>
    </font>
    <font>
      <b/>
      <sz val="11"/>
      <name val="Calibri"/>
      <family val="2"/>
      <charset val="238"/>
      <scheme val="minor"/>
    </font>
    <font>
      <sz val="11"/>
      <name val="Calibri"/>
      <family val="2"/>
      <scheme val="minor"/>
    </font>
    <font>
      <sz val="10"/>
      <color theme="1"/>
      <name val="Calibri"/>
      <family val="2"/>
      <charset val="238"/>
      <scheme val="minor"/>
    </font>
    <font>
      <sz val="9"/>
      <color theme="1"/>
      <name val="Calibri"/>
      <family val="2"/>
      <charset val="238"/>
      <scheme val="minor"/>
    </font>
    <font>
      <sz val="9"/>
      <color theme="1"/>
      <name val="Arial"/>
      <family val="2"/>
      <charset val="238"/>
    </font>
    <font>
      <b/>
      <sz val="24"/>
      <color theme="1"/>
      <name val="Calibri"/>
      <family val="2"/>
      <charset val="238"/>
      <scheme val="minor"/>
    </font>
    <font>
      <b/>
      <sz val="16"/>
      <color theme="1"/>
      <name val="Calibri"/>
      <family val="2"/>
      <charset val="238"/>
      <scheme val="minor"/>
    </font>
    <font>
      <sz val="11"/>
      <color theme="0" tint="-0.14999847407452621"/>
      <name val="Calibri"/>
      <family val="2"/>
      <charset val="238"/>
      <scheme val="minor"/>
    </font>
    <font>
      <sz val="36"/>
      <color theme="1"/>
      <name val="Calibri"/>
      <family val="2"/>
      <charset val="238"/>
      <scheme val="minor"/>
    </font>
    <font>
      <sz val="9"/>
      <color rgb="FFFF0000"/>
      <name val="Arial"/>
      <family val="2"/>
      <charset val="238"/>
    </font>
    <font>
      <sz val="11"/>
      <color theme="1"/>
      <name val="Calibri"/>
      <family val="2"/>
      <charset val="238"/>
    </font>
    <font>
      <b/>
      <sz val="11"/>
      <color theme="1"/>
      <name val="Segoe UI"/>
      <family val="2"/>
      <charset val="238"/>
    </font>
    <font>
      <sz val="11"/>
      <color theme="1"/>
      <name val="Segoe UI"/>
      <family val="2"/>
      <charset val="238"/>
    </font>
    <font>
      <sz val="11"/>
      <color rgb="FF7030A0"/>
      <name val="Calibri"/>
      <family val="2"/>
      <charset val="238"/>
      <scheme val="minor"/>
    </font>
    <font>
      <sz val="9"/>
      <color theme="0" tint="-0.34998626667073579"/>
      <name val="Calibri"/>
      <family val="2"/>
      <charset val="238"/>
      <scheme val="minor"/>
    </font>
    <font>
      <b/>
      <sz val="9"/>
      <color indexed="8"/>
      <name val="Arial"/>
      <family val="2"/>
      <charset val="238"/>
    </font>
    <font>
      <sz val="9"/>
      <color indexed="8"/>
      <name val="Arial"/>
      <family val="2"/>
      <charset val="238"/>
    </font>
    <font>
      <sz val="9"/>
      <color rgb="FF00B050"/>
      <name val="Arial"/>
      <family val="2"/>
      <charset val="238"/>
    </font>
    <font>
      <b/>
      <sz val="9"/>
      <color rgb="FFFF0000"/>
      <name val="Arial"/>
      <family val="2"/>
      <charset val="238"/>
    </font>
    <font>
      <u/>
      <sz val="11"/>
      <color theme="1"/>
      <name val="Calibri"/>
      <family val="2"/>
      <charset val="238"/>
      <scheme val="minor"/>
    </font>
    <font>
      <b/>
      <sz val="11"/>
      <color rgb="FFFF0000"/>
      <name val="Calibri"/>
      <family val="2"/>
      <charset val="238"/>
    </font>
    <font>
      <sz val="11"/>
      <color rgb="FF000000"/>
      <name val="Calibri"/>
      <family val="2"/>
      <charset val="238"/>
    </font>
    <font>
      <sz val="7"/>
      <color rgb="FF000000"/>
      <name val="Times New Roman"/>
      <family val="1"/>
      <charset val="238"/>
    </font>
    <font>
      <sz val="11"/>
      <color rgb="FFFF0000"/>
      <name val="Calibri"/>
      <family val="2"/>
      <charset val="238"/>
    </font>
    <font>
      <b/>
      <sz val="11"/>
      <color rgb="FF000000"/>
      <name val="Calibri"/>
      <family val="2"/>
      <charset val="238"/>
    </font>
    <font>
      <sz val="8"/>
      <color theme="0" tint="-0.34998626667073579"/>
      <name val="Calibri"/>
      <family val="2"/>
      <charset val="238"/>
      <scheme val="minor"/>
    </font>
    <font>
      <sz val="8"/>
      <name val="Calibri"/>
      <family val="2"/>
      <charset val="238"/>
    </font>
    <font>
      <b/>
      <sz val="14"/>
      <color rgb="FF00B0F0"/>
      <name val="Calibri"/>
      <family val="2"/>
      <charset val="238"/>
      <scheme val="minor"/>
    </font>
    <font>
      <sz val="11"/>
      <name val="Calibri"/>
      <family val="2"/>
      <charset val="238"/>
    </font>
    <font>
      <b/>
      <sz val="9"/>
      <color theme="1"/>
      <name val="Calibri"/>
      <family val="2"/>
      <charset val="238"/>
      <scheme val="minor"/>
    </font>
    <font>
      <b/>
      <sz val="10"/>
      <name val="Arial"/>
      <family val="2"/>
      <charset val="238"/>
    </font>
    <font>
      <sz val="11"/>
      <color indexed="8"/>
      <name val="Calibri"/>
      <family val="2"/>
      <charset val="238"/>
      <scheme val="minor"/>
    </font>
    <font>
      <i/>
      <sz val="8"/>
      <color indexed="81"/>
      <name val="Tahoma"/>
      <family val="2"/>
      <charset val="238"/>
    </font>
    <font>
      <sz val="11"/>
      <color rgb="FFFF0000"/>
      <name val="Arial"/>
      <family val="2"/>
      <charset val="238"/>
    </font>
    <font>
      <sz val="8"/>
      <name val="Calibri"/>
      <family val="2"/>
      <charset val="238"/>
      <scheme val="minor"/>
    </font>
    <font>
      <sz val="8"/>
      <color theme="1"/>
      <name val="Arial"/>
      <family val="2"/>
      <charset val="238"/>
    </font>
    <font>
      <sz val="11"/>
      <color rgb="FF00B050"/>
      <name val="Arial"/>
      <family val="2"/>
      <charset val="238"/>
    </font>
    <font>
      <sz val="8"/>
      <color rgb="FF000000"/>
      <name val="Tahoma"/>
      <family val="2"/>
      <charset val="238"/>
    </font>
    <font>
      <sz val="20"/>
      <color theme="1"/>
      <name val="Calibri"/>
      <family val="2"/>
      <charset val="238"/>
      <scheme val="minor"/>
    </font>
    <font>
      <sz val="10"/>
      <color rgb="FFFF0000"/>
      <name val="Arial"/>
      <family val="2"/>
      <charset val="238"/>
    </font>
    <font>
      <b/>
      <sz val="11"/>
      <name val="Arial"/>
      <family val="2"/>
      <charset val="238"/>
    </font>
    <font>
      <sz val="8"/>
      <color rgb="FFFF0000"/>
      <name val="Arial"/>
      <family val="2"/>
      <charset val="238"/>
    </font>
    <font>
      <sz val="9"/>
      <name val="Arial"/>
      <family val="2"/>
      <charset val="238"/>
    </font>
    <font>
      <b/>
      <sz val="14"/>
      <color rgb="FF0070C0"/>
      <name val="Arial"/>
      <family val="2"/>
      <charset val="238"/>
    </font>
  </fonts>
  <fills count="22">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rgb="FFB0FACE"/>
        <bgColor indexed="64"/>
      </patternFill>
    </fill>
    <fill>
      <patternFill patternType="solid">
        <fgColor theme="5" tint="0.79998168889431442"/>
        <bgColor indexed="64"/>
      </patternFill>
    </fill>
    <fill>
      <patternFill patternType="solid">
        <fgColor rgb="FF00B0F0"/>
        <bgColor indexed="64"/>
      </patternFill>
    </fill>
    <fill>
      <patternFill patternType="solid">
        <fgColor rgb="FFFFCCFF"/>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B7DEE8"/>
        <bgColor rgb="FF000000"/>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rgb="FF000000"/>
      </patternFill>
    </fill>
  </fills>
  <borders count="78">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style="thin">
        <color indexed="64"/>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style="medium">
        <color indexed="64"/>
      </bottom>
      <diagonal/>
    </border>
  </borders>
  <cellStyleXfs count="8">
    <xf numFmtId="0" fontId="0" fillId="0" borderId="0"/>
    <xf numFmtId="164" fontId="22" fillId="0" borderId="0" applyFont="0" applyFill="0" applyBorder="0" applyAlignment="0" applyProtection="0"/>
    <xf numFmtId="0" fontId="22" fillId="0" borderId="0"/>
    <xf numFmtId="173" fontId="22" fillId="0" borderId="0"/>
    <xf numFmtId="0" fontId="22" fillId="0" borderId="0"/>
    <xf numFmtId="9" fontId="22" fillId="0" borderId="0" applyFont="0" applyFill="0" applyBorder="0" applyAlignment="0" applyProtection="0"/>
    <xf numFmtId="0" fontId="22" fillId="0" borderId="0"/>
    <xf numFmtId="0" fontId="22" fillId="0" borderId="0"/>
  </cellStyleXfs>
  <cellXfs count="801">
    <xf numFmtId="0" fontId="0" fillId="0" borderId="0" xfId="0"/>
    <xf numFmtId="0" fontId="0" fillId="0" borderId="0" xfId="0" applyProtection="1"/>
    <xf numFmtId="0" fontId="0" fillId="0" borderId="1" xfId="0" applyBorder="1" applyProtection="1"/>
    <xf numFmtId="0" fontId="23" fillId="0" borderId="0" xfId="0" applyFont="1" applyProtection="1"/>
    <xf numFmtId="0" fontId="0" fillId="0" borderId="1" xfId="0" applyBorder="1" applyAlignment="1" applyProtection="1">
      <alignment horizontal="center"/>
    </xf>
    <xf numFmtId="49" fontId="0" fillId="0" borderId="0" xfId="0" applyNumberFormat="1" applyProtection="1"/>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2" fontId="0" fillId="0" borderId="0" xfId="0" applyNumberFormat="1" applyProtection="1"/>
    <xf numFmtId="0" fontId="0" fillId="0" borderId="0" xfId="0" applyBorder="1" applyAlignment="1" applyProtection="1">
      <alignment horizontal="center"/>
    </xf>
    <xf numFmtId="0" fontId="0" fillId="0" borderId="0" xfId="0"/>
    <xf numFmtId="0" fontId="26" fillId="2" borderId="0" xfId="0" applyFont="1" applyFill="1"/>
    <xf numFmtId="0" fontId="27" fillId="2" borderId="0" xfId="0" applyFont="1" applyFill="1"/>
    <xf numFmtId="0" fontId="28" fillId="2" borderId="0" xfId="0" applyFont="1" applyFill="1"/>
    <xf numFmtId="0" fontId="27" fillId="0" borderId="0" xfId="0" applyFont="1"/>
    <xf numFmtId="4" fontId="27" fillId="2" borderId="0" xfId="0" applyNumberFormat="1" applyFont="1" applyFill="1"/>
    <xf numFmtId="0" fontId="27" fillId="2" borderId="0" xfId="0" applyFont="1" applyFill="1" applyAlignment="1">
      <alignment horizontal="left"/>
    </xf>
    <xf numFmtId="0" fontId="27" fillId="2" borderId="0" xfId="0" applyFont="1" applyFill="1" applyAlignment="1">
      <alignment wrapText="1"/>
    </xf>
    <xf numFmtId="4" fontId="29" fillId="2" borderId="0" xfId="0" applyNumberFormat="1" applyFont="1" applyFill="1" applyAlignment="1">
      <alignment horizontal="right" vertical="center"/>
    </xf>
    <xf numFmtId="0" fontId="27" fillId="2" borderId="0" xfId="0" applyFont="1" applyFill="1" applyBorder="1" applyAlignment="1">
      <alignment wrapText="1"/>
    </xf>
    <xf numFmtId="14" fontId="27" fillId="2" borderId="0" xfId="0" applyNumberFormat="1" applyFont="1" applyFill="1" applyBorder="1" applyAlignment="1" applyProtection="1">
      <alignment vertical="center"/>
      <protection locked="0"/>
    </xf>
    <xf numFmtId="0" fontId="27" fillId="2" borderId="0" xfId="0" applyFont="1" applyFill="1" applyAlignment="1">
      <alignment vertical="center"/>
    </xf>
    <xf numFmtId="167" fontId="27" fillId="2" borderId="0" xfId="0" applyNumberFormat="1" applyFont="1" applyFill="1" applyAlignment="1">
      <alignment horizontal="right" vertical="center"/>
    </xf>
    <xf numFmtId="4" fontId="28" fillId="2" borderId="0" xfId="0" applyNumberFormat="1" applyFont="1" applyFill="1" applyAlignment="1">
      <alignment vertical="center"/>
    </xf>
    <xf numFmtId="4" fontId="29" fillId="2" borderId="0" xfId="0" applyNumberFormat="1" applyFont="1" applyFill="1" applyAlignment="1">
      <alignment vertical="center"/>
    </xf>
    <xf numFmtId="4" fontId="28" fillId="2" borderId="0" xfId="0" applyNumberFormat="1" applyFont="1" applyFill="1" applyAlignment="1">
      <alignment horizontal="right" vertical="center"/>
    </xf>
    <xf numFmtId="0" fontId="27" fillId="2" borderId="0" xfId="0" applyFont="1" applyFill="1" applyAlignment="1"/>
    <xf numFmtId="0" fontId="30" fillId="2" borderId="0" xfId="0" applyFont="1" applyFill="1"/>
    <xf numFmtId="4" fontId="28" fillId="2" borderId="0" xfId="0" applyNumberFormat="1" applyFont="1" applyFill="1" applyAlignment="1"/>
    <xf numFmtId="4" fontId="28" fillId="2" borderId="0" xfId="0" applyNumberFormat="1" applyFont="1" applyFill="1" applyAlignment="1" applyProtection="1">
      <alignment vertical="center"/>
      <protection locked="0"/>
    </xf>
    <xf numFmtId="0" fontId="27" fillId="2" borderId="0" xfId="0" applyFont="1" applyFill="1" applyProtection="1"/>
    <xf numFmtId="166" fontId="28" fillId="2" borderId="0" xfId="0" applyNumberFormat="1" applyFont="1" applyFill="1" applyAlignment="1" applyProtection="1">
      <alignment horizontal="left"/>
    </xf>
    <xf numFmtId="4" fontId="28" fillId="2" borderId="0" xfId="0" applyNumberFormat="1" applyFont="1" applyFill="1" applyAlignment="1" applyProtection="1"/>
    <xf numFmtId="0" fontId="31" fillId="2" borderId="0" xfId="0" applyFont="1" applyFill="1" applyAlignment="1">
      <alignment horizontal="left" wrapText="1"/>
    </xf>
    <xf numFmtId="0" fontId="23" fillId="0" borderId="0" xfId="0" applyFont="1"/>
    <xf numFmtId="0" fontId="28" fillId="0" borderId="0" xfId="0" applyFont="1"/>
    <xf numFmtId="0" fontId="26" fillId="2" borderId="0" xfId="0" applyFont="1" applyFill="1" applyAlignment="1"/>
    <xf numFmtId="0" fontId="32" fillId="6" borderId="7" xfId="0" applyFont="1" applyFill="1" applyBorder="1" applyAlignment="1">
      <alignment horizontal="center"/>
    </xf>
    <xf numFmtId="0" fontId="32" fillId="6" borderId="23" xfId="0" applyFont="1" applyFill="1" applyBorder="1" applyAlignment="1">
      <alignment horizontal="center"/>
    </xf>
    <xf numFmtId="0" fontId="32" fillId="6" borderId="4" xfId="0" applyFont="1" applyFill="1" applyBorder="1" applyAlignment="1">
      <alignment horizontal="center"/>
    </xf>
    <xf numFmtId="0" fontId="32" fillId="6" borderId="26" xfId="0" applyFont="1" applyFill="1" applyBorder="1" applyAlignment="1">
      <alignment horizontal="center"/>
    </xf>
    <xf numFmtId="0" fontId="31" fillId="6" borderId="26" xfId="0" applyFont="1" applyFill="1" applyBorder="1"/>
    <xf numFmtId="168" fontId="31" fillId="6" borderId="26" xfId="0" applyNumberFormat="1" applyFont="1" applyFill="1" applyBorder="1" applyAlignment="1">
      <alignment horizontal="center" vertical="center"/>
    </xf>
    <xf numFmtId="164" fontId="32" fillId="6" borderId="27" xfId="0" applyNumberFormat="1" applyFont="1" applyFill="1" applyBorder="1" applyAlignment="1">
      <alignment horizontal="center" vertical="center"/>
    </xf>
    <xf numFmtId="0" fontId="32" fillId="6" borderId="26" xfId="0" applyFont="1" applyFill="1" applyBorder="1" applyAlignment="1">
      <alignment horizontal="center" vertical="center"/>
    </xf>
    <xf numFmtId="0" fontId="31" fillId="6" borderId="26" xfId="0" applyFont="1" applyFill="1" applyBorder="1" applyAlignment="1">
      <alignment vertical="center"/>
    </xf>
    <xf numFmtId="0" fontId="27" fillId="0" borderId="0" xfId="0" applyFont="1" applyAlignment="1">
      <alignment vertical="center"/>
    </xf>
    <xf numFmtId="16" fontId="0" fillId="0" borderId="0" xfId="0" applyNumberFormat="1" applyProtection="1"/>
    <xf numFmtId="0" fontId="0" fillId="4" borderId="0" xfId="0" applyFill="1"/>
    <xf numFmtId="49" fontId="10" fillId="2" borderId="0" xfId="0" applyNumberFormat="1" applyFont="1" applyFill="1" applyAlignment="1">
      <alignment horizontal="left"/>
    </xf>
    <xf numFmtId="165" fontId="0" fillId="0" borderId="23" xfId="0" applyNumberFormat="1" applyBorder="1" applyAlignment="1" applyProtection="1">
      <alignment horizontal="center" vertical="center"/>
    </xf>
    <xf numFmtId="165" fontId="0" fillId="0" borderId="24" xfId="0" applyNumberFormat="1" applyBorder="1" applyAlignment="1" applyProtection="1">
      <alignment horizontal="center" vertical="center"/>
    </xf>
    <xf numFmtId="0" fontId="27" fillId="2" borderId="0" xfId="0" applyFont="1" applyFill="1" applyBorder="1"/>
    <xf numFmtId="4" fontId="31" fillId="2" borderId="4" xfId="1" applyNumberFormat="1" applyFont="1" applyFill="1" applyBorder="1" applyAlignment="1" applyProtection="1">
      <alignment horizontal="center" vertical="center"/>
      <protection locked="0"/>
    </xf>
    <xf numFmtId="165" fontId="0" fillId="0" borderId="0" xfId="0" applyNumberFormat="1" applyProtection="1"/>
    <xf numFmtId="2" fontId="0" fillId="0" borderId="1" xfId="0" applyNumberFormat="1" applyBorder="1" applyProtection="1"/>
    <xf numFmtId="0" fontId="0" fillId="7" borderId="0" xfId="0" applyFill="1" applyProtection="1"/>
    <xf numFmtId="8" fontId="0" fillId="0" borderId="1" xfId="0" applyNumberFormat="1" applyBorder="1" applyProtection="1"/>
    <xf numFmtId="0" fontId="22" fillId="0" borderId="0" xfId="2" applyFont="1" applyProtection="1">
      <protection locked="0"/>
    </xf>
    <xf numFmtId="0" fontId="22" fillId="0" borderId="0" xfId="2" applyFont="1"/>
    <xf numFmtId="0" fontId="34" fillId="0" borderId="0" xfId="2" applyFont="1"/>
    <xf numFmtId="0" fontId="24" fillId="0" borderId="0" xfId="2" applyFont="1"/>
    <xf numFmtId="0" fontId="35" fillId="0" borderId="0" xfId="4" applyFont="1"/>
    <xf numFmtId="0" fontId="36" fillId="0" borderId="0" xfId="4" applyFont="1"/>
    <xf numFmtId="0" fontId="37" fillId="0" borderId="0" xfId="2" applyFont="1"/>
    <xf numFmtId="0" fontId="25" fillId="0" borderId="0" xfId="4" applyFont="1"/>
    <xf numFmtId="0" fontId="38" fillId="0" borderId="0" xfId="4" applyFont="1"/>
    <xf numFmtId="4" fontId="22" fillId="0" borderId="0" xfId="2" applyNumberFormat="1" applyFont="1"/>
    <xf numFmtId="0" fontId="25" fillId="0" borderId="0" xfId="4" applyFont="1" applyProtection="1">
      <protection locked="0"/>
    </xf>
    <xf numFmtId="0" fontId="23" fillId="0" borderId="32" xfId="2" applyFont="1" applyBorder="1" applyAlignment="1">
      <alignment wrapText="1"/>
    </xf>
    <xf numFmtId="0" fontId="22" fillId="0" borderId="4" xfId="2" applyFont="1" applyBorder="1" applyAlignment="1">
      <alignment wrapText="1"/>
    </xf>
    <xf numFmtId="0" fontId="22" fillId="0" borderId="0" xfId="2" applyFont="1" applyAlignment="1">
      <alignment wrapText="1"/>
    </xf>
    <xf numFmtId="0" fontId="22" fillId="0" borderId="0" xfId="2" applyFont="1" applyAlignment="1" applyProtection="1">
      <alignment wrapText="1"/>
      <protection locked="0"/>
    </xf>
    <xf numFmtId="0" fontId="39" fillId="0" borderId="4" xfId="2" applyFont="1" applyBorder="1" applyAlignment="1">
      <alignment wrapText="1"/>
    </xf>
    <xf numFmtId="0" fontId="22" fillId="0" borderId="4" xfId="2" applyFont="1" applyBorder="1" applyAlignment="1" applyProtection="1">
      <alignment wrapText="1"/>
      <protection locked="0"/>
    </xf>
    <xf numFmtId="4" fontId="22" fillId="0" borderId="4" xfId="2" applyNumberFormat="1" applyFont="1" applyBorder="1" applyAlignment="1" applyProtection="1">
      <alignment wrapText="1"/>
      <protection locked="0"/>
    </xf>
    <xf numFmtId="0" fontId="40" fillId="3" borderId="15" xfId="2" applyFont="1" applyFill="1" applyBorder="1" applyAlignment="1">
      <alignment horizontal="center" wrapText="1"/>
    </xf>
    <xf numFmtId="0" fontId="39" fillId="0" borderId="0" xfId="2" applyFont="1" applyAlignment="1">
      <alignment wrapText="1"/>
    </xf>
    <xf numFmtId="4" fontId="22" fillId="0" borderId="0" xfId="2" applyNumberFormat="1" applyFont="1" applyAlignment="1">
      <alignment horizontal="left"/>
    </xf>
    <xf numFmtId="0" fontId="39" fillId="0" borderId="4" xfId="0" applyFont="1" applyBorder="1" applyAlignment="1">
      <alignment wrapText="1"/>
    </xf>
    <xf numFmtId="0" fontId="23" fillId="7" borderId="0" xfId="2" applyFont="1" applyFill="1" applyAlignment="1" applyProtection="1">
      <alignment vertical="center" wrapText="1"/>
      <protection locked="0"/>
    </xf>
    <xf numFmtId="0" fontId="41" fillId="0" borderId="4" xfId="2" applyFont="1" applyBorder="1" applyAlignment="1">
      <alignment wrapText="1"/>
    </xf>
    <xf numFmtId="0" fontId="22" fillId="4" borderId="0" xfId="2" applyFont="1" applyFill="1" applyAlignment="1" applyProtection="1">
      <alignment wrapText="1"/>
      <protection locked="0"/>
    </xf>
    <xf numFmtId="0" fontId="23" fillId="0" borderId="0" xfId="2" applyFont="1" applyAlignment="1">
      <alignment wrapText="1"/>
    </xf>
    <xf numFmtId="0" fontId="23" fillId="0" borderId="33" xfId="2" applyFont="1" applyBorder="1" applyAlignment="1">
      <alignment horizontal="center" vertical="center" wrapText="1"/>
    </xf>
    <xf numFmtId="0" fontId="23" fillId="0" borderId="31" xfId="2" applyFont="1" applyBorder="1" applyAlignment="1">
      <alignment horizontal="center" vertical="center" wrapText="1"/>
    </xf>
    <xf numFmtId="0" fontId="42" fillId="0" borderId="31" xfId="2" applyFont="1" applyBorder="1" applyAlignment="1">
      <alignment horizontal="center" vertical="center" wrapText="1"/>
    </xf>
    <xf numFmtId="0" fontId="23" fillId="0" borderId="14" xfId="2" applyFont="1" applyBorder="1" applyAlignment="1">
      <alignment horizontal="center" vertical="center" wrapText="1"/>
    </xf>
    <xf numFmtId="0" fontId="23" fillId="0" borderId="8" xfId="2" applyFont="1" applyBorder="1" applyAlignment="1">
      <alignment horizontal="center" vertical="center" wrapText="1"/>
    </xf>
    <xf numFmtId="0" fontId="23" fillId="0" borderId="34" xfId="2" applyFont="1" applyBorder="1" applyAlignment="1">
      <alignment horizontal="center" vertical="center" wrapText="1"/>
    </xf>
    <xf numFmtId="0" fontId="23" fillId="0" borderId="35" xfId="2" applyFont="1" applyBorder="1" applyAlignment="1">
      <alignment horizontal="center" vertical="center" wrapText="1"/>
    </xf>
    <xf numFmtId="0" fontId="23" fillId="3" borderId="36" xfId="2" applyFont="1" applyFill="1" applyBorder="1" applyAlignment="1">
      <alignment horizontal="center" vertical="center" wrapText="1"/>
    </xf>
    <xf numFmtId="0" fontId="23" fillId="3" borderId="8" xfId="2" applyFont="1" applyFill="1" applyBorder="1" applyAlignment="1">
      <alignment horizontal="center" vertical="center" wrapText="1"/>
    </xf>
    <xf numFmtId="0" fontId="23" fillId="3" borderId="37" xfId="2" applyFont="1" applyFill="1" applyBorder="1" applyAlignment="1">
      <alignment horizontal="center" vertical="center" wrapText="1"/>
    </xf>
    <xf numFmtId="0" fontId="23" fillId="8" borderId="8" xfId="2" applyFont="1" applyFill="1" applyBorder="1" applyAlignment="1">
      <alignment horizontal="center" vertical="center" wrapText="1"/>
    </xf>
    <xf numFmtId="0" fontId="23" fillId="8" borderId="37" xfId="2" applyFont="1" applyFill="1" applyBorder="1" applyAlignment="1">
      <alignment horizontal="center" vertical="center" wrapText="1"/>
    </xf>
    <xf numFmtId="0" fontId="23" fillId="0" borderId="0" xfId="2" applyFont="1" applyAlignment="1" applyProtection="1">
      <alignment wrapText="1"/>
      <protection locked="0"/>
    </xf>
    <xf numFmtId="9" fontId="39" fillId="0" borderId="4" xfId="2" applyNumberFormat="1" applyFont="1" applyBorder="1" applyAlignment="1" applyProtection="1">
      <alignment horizontal="center" wrapText="1"/>
      <protection locked="0"/>
    </xf>
    <xf numFmtId="0" fontId="23" fillId="0" borderId="38" xfId="2" applyFont="1" applyBorder="1" applyAlignment="1">
      <alignment wrapText="1"/>
    </xf>
    <xf numFmtId="3" fontId="13" fillId="0" borderId="9" xfId="0" applyNumberFormat="1" applyFont="1" applyBorder="1" applyAlignment="1">
      <alignment wrapText="1"/>
    </xf>
    <xf numFmtId="0" fontId="23" fillId="0" borderId="23" xfId="2" applyFont="1" applyBorder="1" applyAlignment="1">
      <alignment wrapText="1"/>
    </xf>
    <xf numFmtId="0" fontId="23" fillId="0" borderId="6" xfId="2" applyFont="1" applyBorder="1" applyAlignment="1">
      <alignment wrapText="1"/>
    </xf>
    <xf numFmtId="0" fontId="40" fillId="0" borderId="39" xfId="2" applyFont="1" applyBorder="1" applyAlignment="1">
      <alignment wrapText="1"/>
    </xf>
    <xf numFmtId="166" fontId="41" fillId="0" borderId="38" xfId="2" applyNumberFormat="1" applyFont="1" applyBorder="1" applyAlignment="1">
      <alignment wrapText="1"/>
    </xf>
    <xf numFmtId="4" fontId="43" fillId="0" borderId="24" xfId="2" applyNumberFormat="1" applyFont="1" applyBorder="1" applyAlignment="1">
      <alignment horizontal="right" wrapText="1"/>
    </xf>
    <xf numFmtId="166" fontId="40" fillId="0" borderId="40" xfId="2" applyNumberFormat="1" applyFont="1" applyBorder="1" applyAlignment="1">
      <alignment wrapText="1"/>
    </xf>
    <xf numFmtId="166" fontId="41" fillId="9" borderId="23" xfId="2" applyNumberFormat="1" applyFont="1" applyFill="1" applyBorder="1" applyAlignment="1">
      <alignment wrapText="1"/>
    </xf>
    <xf numFmtId="4" fontId="43" fillId="0" borderId="23" xfId="2" applyNumberFormat="1" applyFont="1" applyBorder="1" applyAlignment="1">
      <alignment horizontal="right" wrapText="1"/>
    </xf>
    <xf numFmtId="0" fontId="44" fillId="0" borderId="23" xfId="2" applyFont="1" applyBorder="1" applyAlignment="1">
      <alignment horizontal="right" wrapText="1"/>
    </xf>
    <xf numFmtId="0" fontId="40" fillId="0" borderId="23" xfId="2" applyFont="1" applyBorder="1" applyAlignment="1">
      <alignment wrapText="1"/>
    </xf>
    <xf numFmtId="4" fontId="22" fillId="0" borderId="0" xfId="2" applyNumberFormat="1" applyFont="1" applyAlignment="1" applyProtection="1">
      <alignment wrapText="1"/>
      <protection locked="0"/>
    </xf>
    <xf numFmtId="2" fontId="45" fillId="0" borderId="0" xfId="2" applyNumberFormat="1" applyFont="1" applyAlignment="1">
      <alignment wrapText="1"/>
    </xf>
    <xf numFmtId="0" fontId="23" fillId="10" borderId="41" xfId="2" applyFont="1" applyFill="1" applyBorder="1" applyAlignment="1">
      <alignment wrapText="1"/>
    </xf>
    <xf numFmtId="4" fontId="22" fillId="6" borderId="15" xfId="2" applyNumberFormat="1" applyFont="1" applyFill="1" applyBorder="1" applyAlignment="1">
      <alignment horizontal="right" wrapText="1"/>
    </xf>
    <xf numFmtId="4" fontId="22" fillId="0" borderId="15" xfId="2" applyNumberFormat="1" applyFont="1" applyBorder="1" applyAlignment="1">
      <alignment horizontal="right" wrapText="1"/>
    </xf>
    <xf numFmtId="0" fontId="23" fillId="0" borderId="4" xfId="2" applyFont="1" applyBorder="1" applyAlignment="1">
      <alignment wrapText="1"/>
    </xf>
    <xf numFmtId="0" fontId="40" fillId="0" borderId="42" xfId="2" applyFont="1" applyBorder="1" applyAlignment="1">
      <alignment wrapText="1"/>
    </xf>
    <xf numFmtId="166" fontId="41" fillId="0" borderId="41" xfId="2" applyNumberFormat="1" applyFont="1" applyBorder="1" applyAlignment="1">
      <alignment wrapText="1"/>
    </xf>
    <xf numFmtId="4" fontId="43" fillId="0" borderId="25" xfId="2" applyNumberFormat="1" applyFont="1" applyBorder="1" applyAlignment="1">
      <alignment horizontal="right" wrapText="1"/>
    </xf>
    <xf numFmtId="166" fontId="40" fillId="0" borderId="43" xfId="2" applyNumberFormat="1" applyFont="1" applyBorder="1" applyAlignment="1">
      <alignment wrapText="1"/>
    </xf>
    <xf numFmtId="166" fontId="41" fillId="9" borderId="4" xfId="2" applyNumberFormat="1" applyFont="1" applyFill="1" applyBorder="1" applyAlignment="1">
      <alignment wrapText="1"/>
    </xf>
    <xf numFmtId="4" fontId="43" fillId="0" borderId="4" xfId="2" applyNumberFormat="1" applyFont="1" applyBorder="1" applyAlignment="1">
      <alignment horizontal="right" wrapText="1"/>
    </xf>
    <xf numFmtId="2" fontId="44" fillId="0" borderId="4" xfId="2" applyNumberFormat="1" applyFont="1" applyBorder="1" applyAlignment="1">
      <alignment horizontal="right" wrapText="1"/>
    </xf>
    <xf numFmtId="0" fontId="40" fillId="0" borderId="4" xfId="2" applyFont="1" applyBorder="1" applyAlignment="1">
      <alignment wrapText="1"/>
    </xf>
    <xf numFmtId="0" fontId="23" fillId="0" borderId="20" xfId="2" applyFont="1" applyBorder="1" applyAlignment="1">
      <alignment wrapText="1"/>
    </xf>
    <xf numFmtId="4" fontId="22" fillId="0" borderId="4" xfId="2" applyNumberFormat="1" applyFont="1" applyBorder="1" applyAlignment="1">
      <alignment horizontal="right" wrapText="1"/>
    </xf>
    <xf numFmtId="0" fontId="23" fillId="0" borderId="17" xfId="2" applyFont="1" applyBorder="1" applyAlignment="1">
      <alignment wrapText="1"/>
    </xf>
    <xf numFmtId="4" fontId="22" fillId="0" borderId="16" xfId="2" applyNumberFormat="1" applyFont="1" applyBorder="1" applyAlignment="1">
      <alignment horizontal="right" wrapText="1"/>
    </xf>
    <xf numFmtId="0" fontId="23" fillId="0" borderId="16" xfId="2" applyFont="1" applyBorder="1" applyAlignment="1">
      <alignment wrapText="1"/>
    </xf>
    <xf numFmtId="0" fontId="39" fillId="0" borderId="44" xfId="2" applyFont="1" applyBorder="1" applyAlignment="1">
      <alignment wrapText="1"/>
    </xf>
    <xf numFmtId="166" fontId="41" fillId="0" borderId="20" xfId="2" applyNumberFormat="1" applyFont="1" applyBorder="1" applyAlignment="1">
      <alignment wrapText="1"/>
    </xf>
    <xf numFmtId="4" fontId="43" fillId="0" borderId="21" xfId="2" applyNumberFormat="1" applyFont="1" applyBorder="1" applyAlignment="1">
      <alignment horizontal="right" wrapText="1"/>
    </xf>
    <xf numFmtId="166" fontId="39" fillId="0" borderId="17" xfId="2" applyNumberFormat="1" applyFont="1" applyBorder="1" applyAlignment="1">
      <alignment wrapText="1"/>
    </xf>
    <xf numFmtId="166" fontId="41" fillId="9" borderId="9" xfId="2" applyNumberFormat="1" applyFont="1" applyFill="1" applyBorder="1" applyAlignment="1">
      <alignment wrapText="1"/>
    </xf>
    <xf numFmtId="4" fontId="43" fillId="0" borderId="9" xfId="2" applyNumberFormat="1" applyFont="1" applyBorder="1" applyAlignment="1">
      <alignment horizontal="right" wrapText="1"/>
    </xf>
    <xf numFmtId="166" fontId="41" fillId="0" borderId="4" xfId="2" applyNumberFormat="1" applyFont="1" applyBorder="1" applyAlignment="1">
      <alignment wrapText="1"/>
    </xf>
    <xf numFmtId="166" fontId="41" fillId="0" borderId="9" xfId="2" applyNumberFormat="1" applyFont="1" applyBorder="1" applyAlignment="1">
      <alignment horizontal="right" wrapText="1"/>
    </xf>
    <xf numFmtId="0" fontId="23" fillId="0" borderId="4" xfId="2" applyFont="1" applyBorder="1" applyAlignment="1">
      <alignment horizontal="left" wrapText="1"/>
    </xf>
    <xf numFmtId="0" fontId="23" fillId="0" borderId="41" xfId="2" applyFont="1" applyBorder="1" applyAlignment="1">
      <alignment wrapText="1"/>
    </xf>
    <xf numFmtId="0" fontId="23" fillId="0" borderId="43" xfId="2" applyFont="1" applyBorder="1" applyAlignment="1">
      <alignment wrapText="1"/>
    </xf>
    <xf numFmtId="4" fontId="22" fillId="0" borderId="45" xfId="2" applyNumberFormat="1" applyFont="1" applyBorder="1" applyAlignment="1">
      <alignment horizontal="right" wrapText="1"/>
    </xf>
    <xf numFmtId="0" fontId="23" fillId="0" borderId="45" xfId="2" applyFont="1" applyBorder="1" applyAlignment="1">
      <alignment wrapText="1"/>
    </xf>
    <xf numFmtId="0" fontId="40" fillId="0" borderId="43" xfId="2" applyFont="1" applyBorder="1" applyAlignment="1">
      <alignment wrapText="1"/>
    </xf>
    <xf numFmtId="0" fontId="22" fillId="0" borderId="4" xfId="2" applyBorder="1" applyAlignment="1">
      <alignment wrapText="1"/>
    </xf>
    <xf numFmtId="0" fontId="23" fillId="0" borderId="46" xfId="2" applyFont="1" applyBorder="1" applyAlignment="1">
      <alignment wrapText="1"/>
    </xf>
    <xf numFmtId="4" fontId="22" fillId="4" borderId="2" xfId="2" applyNumberFormat="1" applyFill="1" applyBorder="1" applyAlignment="1" applyProtection="1">
      <alignment wrapText="1"/>
      <protection locked="0"/>
    </xf>
    <xf numFmtId="4" fontId="22" fillId="0" borderId="7" xfId="2" applyNumberFormat="1" applyFont="1" applyBorder="1" applyAlignment="1">
      <alignment horizontal="right" wrapText="1"/>
    </xf>
    <xf numFmtId="0" fontId="23" fillId="0" borderId="47" xfId="2" applyFont="1" applyBorder="1" applyAlignment="1">
      <alignment wrapText="1"/>
    </xf>
    <xf numFmtId="4" fontId="22" fillId="0" borderId="48" xfId="2" applyNumberFormat="1" applyFont="1" applyBorder="1" applyAlignment="1">
      <alignment horizontal="right" wrapText="1"/>
    </xf>
    <xf numFmtId="0" fontId="23" fillId="0" borderId="48" xfId="2" applyFont="1" applyBorder="1" applyAlignment="1">
      <alignment wrapText="1"/>
    </xf>
    <xf numFmtId="0" fontId="39" fillId="0" borderId="49" xfId="2" applyFont="1" applyBorder="1" applyAlignment="1">
      <alignment wrapText="1"/>
    </xf>
    <xf numFmtId="166" fontId="41" fillId="0" borderId="46" xfId="2" applyNumberFormat="1" applyFont="1" applyBorder="1" applyAlignment="1">
      <alignment wrapText="1"/>
    </xf>
    <xf numFmtId="4" fontId="43" fillId="0" borderId="3" xfId="2" applyNumberFormat="1" applyFont="1" applyBorder="1" applyAlignment="1">
      <alignment horizontal="right" wrapText="1"/>
    </xf>
    <xf numFmtId="166" fontId="39" fillId="0" borderId="47" xfId="2" applyNumberFormat="1" applyFont="1" applyBorder="1" applyAlignment="1">
      <alignment wrapText="1"/>
    </xf>
    <xf numFmtId="166" fontId="41" fillId="9" borderId="2" xfId="2" applyNumberFormat="1" applyFont="1" applyFill="1" applyBorder="1" applyAlignment="1">
      <alignment wrapText="1"/>
    </xf>
    <xf numFmtId="4" fontId="43" fillId="0" borderId="2" xfId="2" applyNumberFormat="1" applyFont="1" applyBorder="1" applyAlignment="1">
      <alignment horizontal="right" wrapText="1"/>
    </xf>
    <xf numFmtId="2" fontId="44" fillId="0" borderId="2" xfId="2" applyNumberFormat="1" applyFont="1" applyBorder="1" applyAlignment="1">
      <alignment horizontal="right" wrapText="1"/>
    </xf>
    <xf numFmtId="0" fontId="39" fillId="0" borderId="47" xfId="2" applyFont="1" applyBorder="1" applyAlignment="1">
      <alignment wrapText="1"/>
    </xf>
    <xf numFmtId="4" fontId="43" fillId="0" borderId="47" xfId="2" applyNumberFormat="1" applyFont="1" applyBorder="1" applyAlignment="1">
      <alignment horizontal="right" wrapText="1"/>
    </xf>
    <xf numFmtId="4" fontId="23" fillId="0" borderId="4" xfId="2" applyNumberFormat="1" applyFont="1" applyBorder="1" applyAlignment="1">
      <alignment wrapText="1"/>
    </xf>
    <xf numFmtId="0" fontId="46" fillId="0" borderId="0" xfId="2" applyFont="1" applyAlignment="1">
      <alignment wrapText="1"/>
    </xf>
    <xf numFmtId="2" fontId="46" fillId="0" borderId="0" xfId="2" applyNumberFormat="1" applyFont="1" applyAlignment="1">
      <alignment wrapText="1"/>
    </xf>
    <xf numFmtId="4" fontId="22" fillId="0" borderId="23" xfId="2" applyNumberFormat="1" applyFont="1" applyBorder="1" applyAlignment="1">
      <alignment horizontal="right" wrapText="1"/>
    </xf>
    <xf numFmtId="14" fontId="22" fillId="0" borderId="17" xfId="2" applyNumberFormat="1" applyBorder="1" applyAlignment="1">
      <alignment wrapText="1"/>
    </xf>
    <xf numFmtId="0" fontId="22" fillId="0" borderId="17" xfId="2" applyBorder="1" applyAlignment="1">
      <alignment wrapText="1"/>
    </xf>
    <xf numFmtId="0" fontId="22" fillId="0" borderId="16" xfId="2" applyBorder="1" applyAlignment="1">
      <alignment wrapText="1"/>
    </xf>
    <xf numFmtId="171" fontId="23" fillId="0" borderId="4" xfId="2" applyNumberFormat="1" applyFont="1" applyBorder="1" applyAlignment="1">
      <alignment wrapText="1"/>
    </xf>
    <xf numFmtId="3" fontId="22" fillId="4" borderId="43" xfId="2" applyNumberFormat="1" applyFill="1" applyBorder="1" applyAlignment="1" applyProtection="1">
      <alignment wrapText="1"/>
      <protection locked="0"/>
    </xf>
    <xf numFmtId="0" fontId="22" fillId="0" borderId="45" xfId="2" applyBorder="1" applyAlignment="1">
      <alignment wrapText="1"/>
    </xf>
    <xf numFmtId="0" fontId="39" fillId="0" borderId="17" xfId="2" applyFont="1" applyBorder="1" applyAlignment="1">
      <alignment wrapText="1"/>
    </xf>
    <xf numFmtId="0" fontId="23" fillId="0" borderId="4" xfId="2" applyFont="1" applyBorder="1" applyAlignment="1" applyProtection="1">
      <alignment wrapText="1"/>
      <protection locked="0"/>
    </xf>
    <xf numFmtId="0" fontId="0" fillId="0" borderId="4" xfId="0" applyBorder="1" applyAlignment="1">
      <alignment wrapText="1"/>
    </xf>
    <xf numFmtId="172" fontId="47" fillId="0" borderId="4" xfId="5" applyNumberFormat="1" applyFont="1" applyFill="1" applyBorder="1" applyAlignment="1">
      <alignment wrapText="1"/>
    </xf>
    <xf numFmtId="9" fontId="22" fillId="0" borderId="0" xfId="5" applyFont="1" applyAlignment="1" applyProtection="1">
      <alignment wrapText="1"/>
      <protection locked="0"/>
    </xf>
    <xf numFmtId="4" fontId="43" fillId="0" borderId="25" xfId="2" applyNumberFormat="1" applyFont="1" applyBorder="1" applyAlignment="1">
      <alignment wrapText="1"/>
    </xf>
    <xf numFmtId="4" fontId="43" fillId="0" borderId="4" xfId="2" applyNumberFormat="1" applyFont="1" applyBorder="1" applyAlignment="1">
      <alignment wrapText="1"/>
    </xf>
    <xf numFmtId="2" fontId="44" fillId="0" borderId="4" xfId="2" applyNumberFormat="1" applyFont="1" applyBorder="1" applyAlignment="1">
      <alignment wrapText="1"/>
    </xf>
    <xf numFmtId="0" fontId="36" fillId="0" borderId="0" xfId="2" applyFont="1" applyAlignment="1" applyProtection="1">
      <alignment wrapText="1"/>
      <protection locked="0"/>
    </xf>
    <xf numFmtId="0" fontId="22" fillId="4" borderId="4" xfId="2" applyFont="1" applyFill="1" applyBorder="1" applyAlignment="1" applyProtection="1">
      <alignment horizontal="center" vertical="center" wrapText="1"/>
      <protection locked="0"/>
    </xf>
    <xf numFmtId="0" fontId="23" fillId="0" borderId="30" xfId="2" applyFont="1" applyBorder="1" applyAlignment="1">
      <alignment wrapText="1"/>
    </xf>
    <xf numFmtId="3" fontId="22" fillId="4" borderId="12" xfId="2" applyNumberFormat="1" applyFill="1" applyBorder="1" applyAlignment="1" applyProtection="1">
      <alignment wrapText="1"/>
      <protection locked="0"/>
    </xf>
    <xf numFmtId="4" fontId="22" fillId="0" borderId="2" xfId="2" applyNumberFormat="1" applyFont="1" applyBorder="1" applyAlignment="1">
      <alignment horizontal="right" wrapText="1"/>
    </xf>
    <xf numFmtId="14" fontId="22" fillId="0" borderId="47" xfId="2" applyNumberFormat="1" applyBorder="1" applyAlignment="1">
      <alignment wrapText="1"/>
    </xf>
    <xf numFmtId="14" fontId="22" fillId="0" borderId="2" xfId="2" applyNumberFormat="1" applyBorder="1" applyAlignment="1">
      <alignment wrapText="1"/>
    </xf>
    <xf numFmtId="4" fontId="22" fillId="0" borderId="0" xfId="2" applyNumberFormat="1" applyFont="1" applyAlignment="1">
      <alignment horizontal="right" wrapText="1"/>
    </xf>
    <xf numFmtId="0" fontId="22" fillId="0" borderId="11" xfId="2" applyBorder="1" applyAlignment="1">
      <alignment wrapText="1"/>
    </xf>
    <xf numFmtId="0" fontId="39" fillId="0" borderId="34" xfId="2" applyFont="1" applyBorder="1" applyAlignment="1">
      <alignment wrapText="1"/>
    </xf>
    <xf numFmtId="166" fontId="41" fillId="0" borderId="30" xfId="2" applyNumberFormat="1" applyFont="1" applyBorder="1" applyAlignment="1">
      <alignment wrapText="1"/>
    </xf>
    <xf numFmtId="4" fontId="43" fillId="0" borderId="22" xfId="2" applyNumberFormat="1" applyFont="1" applyBorder="1" applyAlignment="1">
      <alignment wrapText="1"/>
    </xf>
    <xf numFmtId="166" fontId="39" fillId="0" borderId="46" xfId="2" applyNumberFormat="1" applyFont="1" applyBorder="1" applyAlignment="1">
      <alignment wrapText="1"/>
    </xf>
    <xf numFmtId="166" fontId="41" fillId="9" borderId="7" xfId="2" applyNumberFormat="1" applyFont="1" applyFill="1" applyBorder="1" applyAlignment="1">
      <alignment wrapText="1"/>
    </xf>
    <xf numFmtId="4" fontId="43" fillId="0" borderId="7" xfId="2" applyNumberFormat="1" applyFont="1" applyBorder="1" applyAlignment="1">
      <alignment wrapText="1"/>
    </xf>
    <xf numFmtId="2" fontId="44" fillId="0" borderId="7" xfId="2" applyNumberFormat="1" applyFont="1" applyBorder="1" applyAlignment="1">
      <alignment wrapText="1"/>
    </xf>
    <xf numFmtId="0" fontId="39" fillId="0" borderId="14" xfId="2" applyFont="1" applyBorder="1" applyAlignment="1">
      <alignment wrapText="1"/>
    </xf>
    <xf numFmtId="0" fontId="36" fillId="0" borderId="0" xfId="2" applyFont="1" applyAlignment="1">
      <alignment wrapText="1"/>
    </xf>
    <xf numFmtId="4" fontId="22" fillId="0" borderId="9" xfId="2" applyNumberFormat="1" applyFont="1" applyBorder="1" applyAlignment="1">
      <alignment horizontal="right" wrapText="1"/>
    </xf>
    <xf numFmtId="165" fontId="22" fillId="0" borderId="40" xfId="2" applyNumberFormat="1" applyBorder="1" applyAlignment="1">
      <alignment wrapText="1"/>
    </xf>
    <xf numFmtId="3" fontId="22" fillId="11" borderId="50" xfId="2" applyNumberFormat="1" applyFont="1" applyFill="1" applyBorder="1" applyAlignment="1">
      <alignment horizontal="right" wrapText="1"/>
    </xf>
    <xf numFmtId="166" fontId="25" fillId="0" borderId="6" xfId="2" applyNumberFormat="1" applyFont="1" applyBorder="1" applyAlignment="1">
      <alignment wrapText="1"/>
    </xf>
    <xf numFmtId="166" fontId="41" fillId="0" borderId="39" xfId="2" applyNumberFormat="1" applyFont="1" applyBorder="1" applyAlignment="1">
      <alignment wrapText="1"/>
    </xf>
    <xf numFmtId="4" fontId="43" fillId="0" borderId="24" xfId="2" applyNumberFormat="1" applyFont="1" applyBorder="1" applyAlignment="1">
      <alignment wrapText="1"/>
    </xf>
    <xf numFmtId="166" fontId="39" fillId="9" borderId="17" xfId="2" applyNumberFormat="1" applyFont="1" applyFill="1" applyBorder="1" applyAlignment="1">
      <alignment wrapText="1"/>
    </xf>
    <xf numFmtId="4" fontId="43" fillId="0" borderId="23" xfId="2" applyNumberFormat="1" applyFont="1" applyBorder="1" applyAlignment="1">
      <alignment wrapText="1"/>
    </xf>
    <xf numFmtId="4" fontId="48" fillId="0" borderId="4" xfId="2" applyNumberFormat="1" applyFont="1" applyBorder="1" applyAlignment="1">
      <alignment horizontal="right" wrapText="1"/>
    </xf>
    <xf numFmtId="165" fontId="22" fillId="0" borderId="43" xfId="2" applyNumberFormat="1" applyBorder="1" applyAlignment="1">
      <alignment wrapText="1"/>
    </xf>
    <xf numFmtId="3" fontId="22" fillId="11" borderId="45" xfId="2" applyNumberFormat="1" applyFont="1" applyFill="1" applyBorder="1" applyAlignment="1">
      <alignment horizontal="right" wrapText="1"/>
    </xf>
    <xf numFmtId="166" fontId="25" fillId="0" borderId="32" xfId="2" applyNumberFormat="1" applyFont="1" applyBorder="1" applyAlignment="1">
      <alignment wrapText="1"/>
    </xf>
    <xf numFmtId="166" fontId="41" fillId="0" borderId="42" xfId="2" applyNumberFormat="1" applyFont="1" applyBorder="1" applyAlignment="1">
      <alignment wrapText="1"/>
    </xf>
    <xf numFmtId="165" fontId="22" fillId="0" borderId="47" xfId="2" applyNumberFormat="1" applyBorder="1" applyAlignment="1">
      <alignment wrapText="1"/>
    </xf>
    <xf numFmtId="3" fontId="22" fillId="11" borderId="48" xfId="2" applyNumberFormat="1" applyFont="1" applyFill="1" applyBorder="1" applyAlignment="1">
      <alignment horizontal="right" wrapText="1"/>
    </xf>
    <xf numFmtId="167" fontId="25" fillId="0" borderId="51" xfId="2" applyNumberFormat="1" applyFont="1" applyBorder="1" applyAlignment="1">
      <alignment wrapText="1"/>
    </xf>
    <xf numFmtId="166" fontId="41" fillId="0" borderId="49" xfId="2" applyNumberFormat="1" applyFont="1" applyBorder="1" applyAlignment="1">
      <alignment wrapText="1"/>
    </xf>
    <xf numFmtId="4" fontId="43" fillId="0" borderId="3" xfId="2" applyNumberFormat="1" applyFont="1" applyBorder="1" applyAlignment="1">
      <alignment wrapText="1"/>
    </xf>
    <xf numFmtId="4" fontId="43" fillId="0" borderId="2" xfId="2" applyNumberFormat="1" applyFont="1" applyBorder="1" applyAlignment="1">
      <alignment wrapText="1"/>
    </xf>
    <xf numFmtId="166" fontId="22" fillId="0" borderId="0" xfId="2" applyNumberFormat="1" applyFont="1" applyAlignment="1" applyProtection="1">
      <alignment wrapText="1"/>
      <protection locked="0"/>
    </xf>
    <xf numFmtId="0" fontId="23" fillId="0" borderId="33" xfId="2" applyFont="1" applyBorder="1" applyAlignment="1">
      <alignment wrapText="1"/>
    </xf>
    <xf numFmtId="4" fontId="22" fillId="0" borderId="5" xfId="2" applyNumberFormat="1" applyFont="1" applyBorder="1" applyAlignment="1">
      <alignment horizontal="right" wrapText="1"/>
    </xf>
    <xf numFmtId="0" fontId="23" fillId="0" borderId="19" xfId="2" applyFont="1" applyBorder="1" applyAlignment="1">
      <alignment wrapText="1"/>
    </xf>
    <xf numFmtId="0" fontId="23" fillId="0" borderId="28" xfId="2" applyFont="1" applyBorder="1" applyAlignment="1">
      <alignment wrapText="1"/>
    </xf>
    <xf numFmtId="0" fontId="22" fillId="0" borderId="52" xfId="2" applyBorder="1" applyAlignment="1">
      <alignment wrapText="1"/>
    </xf>
    <xf numFmtId="3" fontId="22" fillId="0" borderId="0" xfId="2" applyNumberFormat="1" applyFont="1" applyAlignment="1">
      <alignment horizontal="right" wrapText="1"/>
    </xf>
    <xf numFmtId="0" fontId="23" fillId="0" borderId="53" xfId="2" applyFont="1" applyBorder="1" applyAlignment="1">
      <alignment wrapText="1"/>
    </xf>
    <xf numFmtId="0" fontId="39" fillId="0" borderId="54" xfId="2" applyFont="1" applyBorder="1" applyAlignment="1">
      <alignment wrapText="1"/>
    </xf>
    <xf numFmtId="166" fontId="41" fillId="0" borderId="33" xfId="2" applyNumberFormat="1" applyFont="1" applyBorder="1" applyAlignment="1">
      <alignment horizontal="center" wrapText="1"/>
    </xf>
    <xf numFmtId="166" fontId="40" fillId="0" borderId="1" xfId="2" applyNumberFormat="1" applyFont="1" applyBorder="1" applyAlignment="1">
      <alignment wrapText="1"/>
    </xf>
    <xf numFmtId="4" fontId="43" fillId="0" borderId="28" xfId="2" applyNumberFormat="1" applyFont="1" applyBorder="1" applyAlignment="1">
      <alignment wrapText="1"/>
    </xf>
    <xf numFmtId="166" fontId="49" fillId="9" borderId="2" xfId="2" applyNumberFormat="1" applyFont="1" applyFill="1" applyBorder="1" applyAlignment="1">
      <alignment wrapText="1"/>
    </xf>
    <xf numFmtId="0" fontId="23" fillId="0" borderId="35" xfId="2" applyFont="1" applyBorder="1" applyAlignment="1">
      <alignment wrapText="1"/>
    </xf>
    <xf numFmtId="4" fontId="22" fillId="0" borderId="55" xfId="2" applyNumberFormat="1" applyBorder="1" applyAlignment="1">
      <alignment wrapText="1"/>
    </xf>
    <xf numFmtId="3" fontId="22" fillId="0" borderId="55" xfId="2" applyNumberFormat="1" applyBorder="1" applyAlignment="1" applyProtection="1">
      <alignment wrapText="1"/>
      <protection locked="0"/>
    </xf>
    <xf numFmtId="0" fontId="23" fillId="0" borderId="55" xfId="2" applyFont="1" applyBorder="1" applyAlignment="1" applyProtection="1">
      <alignment wrapText="1"/>
      <protection locked="0"/>
    </xf>
    <xf numFmtId="0" fontId="23" fillId="0" borderId="55" xfId="2" applyFont="1" applyBorder="1" applyAlignment="1">
      <alignment wrapText="1"/>
    </xf>
    <xf numFmtId="3" fontId="22" fillId="0" borderId="55" xfId="2" applyNumberFormat="1" applyBorder="1" applyAlignment="1">
      <alignment wrapText="1"/>
    </xf>
    <xf numFmtId="0" fontId="23" fillId="0" borderId="56" xfId="2" applyFont="1" applyBorder="1" applyAlignment="1">
      <alignment wrapText="1"/>
    </xf>
    <xf numFmtId="0" fontId="40" fillId="0" borderId="55" xfId="2" applyFont="1" applyBorder="1" applyAlignment="1">
      <alignment wrapText="1"/>
    </xf>
    <xf numFmtId="0" fontId="41" fillId="0" borderId="29" xfId="2" applyFont="1" applyBorder="1" applyAlignment="1">
      <alignment wrapText="1"/>
    </xf>
    <xf numFmtId="0" fontId="43" fillId="0" borderId="57" xfId="2" applyFont="1" applyBorder="1" applyAlignment="1">
      <alignment wrapText="1"/>
    </xf>
    <xf numFmtId="0" fontId="41" fillId="0" borderId="55" xfId="2" applyFont="1" applyBorder="1" applyAlignment="1">
      <alignment wrapText="1"/>
    </xf>
    <xf numFmtId="0" fontId="39" fillId="0" borderId="58" xfId="2" applyFont="1" applyBorder="1" applyAlignment="1">
      <alignment wrapText="1"/>
    </xf>
    <xf numFmtId="4" fontId="43" fillId="0" borderId="59" xfId="2" applyNumberFormat="1" applyFont="1" applyBorder="1" applyAlignment="1">
      <alignment wrapText="1"/>
    </xf>
    <xf numFmtId="4" fontId="43" fillId="0" borderId="36" xfId="2" applyNumberFormat="1" applyFont="1" applyBorder="1" applyAlignment="1">
      <alignment wrapText="1"/>
    </xf>
    <xf numFmtId="0" fontId="40" fillId="3" borderId="12" xfId="2" applyFont="1" applyFill="1" applyBorder="1" applyAlignment="1">
      <alignment wrapText="1"/>
    </xf>
    <xf numFmtId="0" fontId="44" fillId="3" borderId="7" xfId="2" applyFont="1" applyFill="1" applyBorder="1" applyAlignment="1">
      <alignment wrapText="1"/>
    </xf>
    <xf numFmtId="4" fontId="49" fillId="3" borderId="7" xfId="2" applyNumberFormat="1" applyFont="1" applyFill="1" applyBorder="1" applyAlignment="1">
      <alignment wrapText="1"/>
    </xf>
    <xf numFmtId="0" fontId="40" fillId="8" borderId="7" xfId="2" applyFont="1" applyFill="1" applyBorder="1" applyAlignment="1">
      <alignment wrapText="1"/>
    </xf>
    <xf numFmtId="0" fontId="44" fillId="8" borderId="7" xfId="2" applyFont="1" applyFill="1" applyBorder="1" applyAlignment="1">
      <alignment wrapText="1"/>
    </xf>
    <xf numFmtId="4" fontId="49" fillId="8" borderId="7" xfId="2" applyNumberFormat="1" applyFont="1" applyFill="1" applyBorder="1" applyAlignment="1">
      <alignment wrapText="1"/>
    </xf>
    <xf numFmtId="0" fontId="41" fillId="8" borderId="7" xfId="2" applyFont="1" applyFill="1" applyBorder="1" applyAlignment="1">
      <alignment wrapText="1"/>
    </xf>
    <xf numFmtId="4" fontId="49" fillId="8" borderId="22" xfId="2" applyNumberFormat="1" applyFont="1" applyFill="1" applyBorder="1" applyAlignment="1">
      <alignment wrapText="1"/>
    </xf>
    <xf numFmtId="0" fontId="40" fillId="3" borderId="47" xfId="2" applyFont="1" applyFill="1" applyBorder="1" applyAlignment="1">
      <alignment wrapText="1"/>
    </xf>
    <xf numFmtId="0" fontId="44" fillId="3" borderId="2" xfId="2" applyFont="1" applyFill="1" applyBorder="1" applyAlignment="1">
      <alignment wrapText="1"/>
    </xf>
    <xf numFmtId="4" fontId="49" fillId="3" borderId="2" xfId="2" applyNumberFormat="1" applyFont="1" applyFill="1" applyBorder="1" applyAlignment="1">
      <alignment wrapText="1"/>
    </xf>
    <xf numFmtId="0" fontId="39" fillId="8" borderId="2" xfId="2" applyFont="1" applyFill="1" applyBorder="1" applyAlignment="1">
      <alignment wrapText="1"/>
    </xf>
    <xf numFmtId="4" fontId="49" fillId="8" borderId="2" xfId="2" applyNumberFormat="1" applyFont="1" applyFill="1" applyBorder="1" applyAlignment="1">
      <alignment wrapText="1"/>
    </xf>
    <xf numFmtId="0" fontId="41" fillId="8" borderId="2" xfId="2" applyFont="1" applyFill="1" applyBorder="1" applyAlignment="1">
      <alignment wrapText="1"/>
    </xf>
    <xf numFmtId="4" fontId="49" fillId="8" borderId="3" xfId="2" applyNumberFormat="1" applyFont="1" applyFill="1" applyBorder="1" applyAlignment="1">
      <alignment wrapText="1"/>
    </xf>
    <xf numFmtId="4" fontId="22" fillId="0" borderId="0" xfId="2" applyNumberFormat="1" applyFont="1" applyAlignment="1">
      <alignment wrapText="1"/>
    </xf>
    <xf numFmtId="0" fontId="23" fillId="12" borderId="38" xfId="2" applyFont="1" applyFill="1" applyBorder="1" applyAlignment="1">
      <alignment wrapText="1"/>
    </xf>
    <xf numFmtId="0" fontId="23" fillId="3" borderId="23" xfId="2" applyFont="1" applyFill="1" applyBorder="1" applyAlignment="1">
      <alignment wrapText="1"/>
    </xf>
    <xf numFmtId="0" fontId="23" fillId="3" borderId="24" xfId="2" applyFont="1" applyFill="1" applyBorder="1" applyAlignment="1">
      <alignment horizontal="center" wrapText="1"/>
    </xf>
    <xf numFmtId="2" fontId="50" fillId="0" borderId="25" xfId="2" applyNumberFormat="1" applyFont="1" applyBorder="1" applyAlignment="1">
      <alignment wrapText="1"/>
    </xf>
    <xf numFmtId="0" fontId="0" fillId="0" borderId="0" xfId="0" applyAlignment="1">
      <alignment wrapText="1"/>
    </xf>
    <xf numFmtId="0" fontId="22" fillId="0" borderId="7" xfId="2" applyBorder="1" applyAlignment="1">
      <alignment wrapText="1"/>
    </xf>
    <xf numFmtId="4" fontId="50" fillId="0" borderId="22" xfId="2" applyNumberFormat="1" applyFont="1" applyBorder="1" applyAlignment="1">
      <alignment wrapText="1"/>
    </xf>
    <xf numFmtId="0" fontId="23" fillId="0" borderId="39" xfId="2" applyFont="1" applyBorder="1" applyAlignment="1">
      <alignment wrapText="1"/>
    </xf>
    <xf numFmtId="0" fontId="23" fillId="0" borderId="50" xfId="2" applyFont="1" applyBorder="1" applyAlignment="1">
      <alignment wrapText="1"/>
    </xf>
    <xf numFmtId="0" fontId="23" fillId="0" borderId="40" xfId="2" applyFont="1" applyBorder="1" applyAlignment="1">
      <alignment wrapText="1"/>
    </xf>
    <xf numFmtId="4" fontId="51" fillId="3" borderId="36" xfId="2" applyNumberFormat="1" applyFont="1" applyFill="1" applyBorder="1" applyAlignment="1">
      <alignment wrapText="1"/>
    </xf>
    <xf numFmtId="166" fontId="22" fillId="0" borderId="0" xfId="2" applyNumberFormat="1" applyFont="1" applyAlignment="1">
      <alignment wrapText="1"/>
    </xf>
    <xf numFmtId="0" fontId="23" fillId="0" borderId="49" xfId="2" applyFont="1" applyBorder="1" applyAlignment="1">
      <alignment wrapText="1"/>
    </xf>
    <xf numFmtId="4" fontId="52" fillId="3" borderId="3" xfId="2" applyNumberFormat="1" applyFont="1" applyFill="1" applyBorder="1" applyAlignment="1">
      <alignment wrapText="1"/>
    </xf>
    <xf numFmtId="0" fontId="22" fillId="13" borderId="0" xfId="2" applyFont="1" applyFill="1" applyAlignment="1" applyProtection="1">
      <alignment wrapText="1"/>
      <protection locked="0"/>
    </xf>
    <xf numFmtId="0" fontId="22" fillId="13" borderId="0" xfId="2" applyFont="1" applyFill="1" applyAlignment="1">
      <alignment wrapText="1"/>
    </xf>
    <xf numFmtId="0" fontId="25" fillId="13" borderId="0" xfId="2" applyFont="1" applyFill="1"/>
    <xf numFmtId="166" fontId="22" fillId="13" borderId="0" xfId="2" applyNumberFormat="1" applyFont="1" applyFill="1" applyAlignment="1">
      <alignment wrapText="1"/>
    </xf>
    <xf numFmtId="0" fontId="0" fillId="0" borderId="16" xfId="0" applyBorder="1"/>
    <xf numFmtId="0" fontId="23" fillId="0" borderId="4" xfId="2" applyFont="1" applyBorder="1" applyAlignment="1">
      <alignment horizontal="right" wrapText="1"/>
    </xf>
    <xf numFmtId="164" fontId="22" fillId="0" borderId="0" xfId="1" applyFont="1" applyAlignment="1" applyProtection="1">
      <alignment wrapText="1"/>
    </xf>
    <xf numFmtId="2" fontId="24" fillId="14" borderId="4" xfId="0" applyNumberFormat="1" applyFont="1" applyFill="1" applyBorder="1" applyAlignment="1">
      <alignment wrapText="1"/>
    </xf>
    <xf numFmtId="165" fontId="24" fillId="14" borderId="4" xfId="0" applyNumberFormat="1" applyFont="1" applyFill="1" applyBorder="1" applyAlignment="1">
      <alignment wrapText="1"/>
    </xf>
    <xf numFmtId="165" fontId="24" fillId="0" borderId="4" xfId="0" applyNumberFormat="1" applyFont="1" applyBorder="1" applyAlignment="1">
      <alignment wrapText="1"/>
    </xf>
    <xf numFmtId="165" fontId="0" fillId="14" borderId="4" xfId="0" applyNumberFormat="1" applyFill="1" applyBorder="1" applyAlignment="1">
      <alignment wrapText="1"/>
    </xf>
    <xf numFmtId="166" fontId="0" fillId="0" borderId="4" xfId="0" applyNumberFormat="1" applyBorder="1" applyAlignment="1">
      <alignment wrapText="1"/>
    </xf>
    <xf numFmtId="0" fontId="53" fillId="4" borderId="0" xfId="0" applyFont="1" applyFill="1"/>
    <xf numFmtId="175" fontId="22" fillId="0" borderId="0" xfId="2" applyNumberFormat="1" applyFont="1"/>
    <xf numFmtId="0" fontId="22" fillId="4" borderId="0" xfId="2" applyFont="1" applyFill="1" applyAlignment="1">
      <alignment horizontal="center" vertical="center" wrapText="1"/>
    </xf>
    <xf numFmtId="2" fontId="24" fillId="0" borderId="4" xfId="0" applyNumberFormat="1" applyFont="1" applyBorder="1" applyAlignment="1">
      <alignment wrapText="1"/>
    </xf>
    <xf numFmtId="0" fontId="23" fillId="0" borderId="4" xfId="0" applyFont="1" applyBorder="1" applyAlignment="1">
      <alignment wrapText="1"/>
    </xf>
    <xf numFmtId="0" fontId="24" fillId="0" borderId="4" xfId="0" applyFont="1" applyBorder="1" applyAlignment="1">
      <alignment wrapText="1"/>
    </xf>
    <xf numFmtId="0" fontId="54" fillId="0" borderId="0" xfId="0" applyFont="1" applyAlignment="1">
      <alignment wrapText="1"/>
    </xf>
    <xf numFmtId="0" fontId="50" fillId="14" borderId="4" xfId="0" applyFont="1" applyFill="1" applyBorder="1" applyAlignment="1">
      <alignment wrapText="1"/>
    </xf>
    <xf numFmtId="0" fontId="55" fillId="0" borderId="0" xfId="0" applyFont="1" applyAlignment="1">
      <alignment wrapText="1"/>
    </xf>
    <xf numFmtId="165" fontId="50" fillId="14" borderId="4" xfId="0" applyNumberFormat="1" applyFont="1" applyFill="1" applyBorder="1" applyAlignment="1">
      <alignment wrapText="1"/>
    </xf>
    <xf numFmtId="14" fontId="22" fillId="0" borderId="0" xfId="2" applyNumberFormat="1" applyFont="1" applyAlignment="1">
      <alignment wrapText="1"/>
    </xf>
    <xf numFmtId="0" fontId="55" fillId="0" borderId="41" xfId="0" applyFont="1" applyBorder="1"/>
    <xf numFmtId="2" fontId="0" fillId="14" borderId="4" xfId="0" applyNumberFormat="1" applyFill="1" applyBorder="1" applyAlignment="1">
      <alignment wrapText="1"/>
    </xf>
    <xf numFmtId="170" fontId="0" fillId="14" borderId="4" xfId="0" applyNumberFormat="1" applyFill="1" applyBorder="1" applyAlignment="1">
      <alignment wrapText="1"/>
    </xf>
    <xf numFmtId="171" fontId="0" fillId="14" borderId="4" xfId="0" applyNumberFormat="1" applyFill="1" applyBorder="1" applyAlignment="1">
      <alignment wrapText="1"/>
    </xf>
    <xf numFmtId="14" fontId="22" fillId="0" borderId="0" xfId="2" applyNumberFormat="1" applyFont="1"/>
    <xf numFmtId="14" fontId="50" fillId="0" borderId="0" xfId="2" applyNumberFormat="1" applyFont="1" applyAlignment="1">
      <alignment wrapText="1"/>
    </xf>
    <xf numFmtId="1" fontId="31" fillId="6" borderId="23" xfId="0" applyNumberFormat="1" applyFont="1" applyFill="1" applyBorder="1" applyAlignment="1">
      <alignment horizontal="center" vertical="center"/>
    </xf>
    <xf numFmtId="0" fontId="39" fillId="0" borderId="0" xfId="2" quotePrefix="1" applyFont="1" applyAlignment="1">
      <alignment horizontal="left" wrapText="1"/>
    </xf>
    <xf numFmtId="0" fontId="39" fillId="7" borderId="4" xfId="2" applyFont="1" applyFill="1" applyBorder="1" applyAlignment="1"/>
    <xf numFmtId="0" fontId="40" fillId="0" borderId="49" xfId="2" applyFont="1" applyBorder="1" applyAlignment="1">
      <alignment horizontal="center" wrapText="1"/>
    </xf>
    <xf numFmtId="0" fontId="40" fillId="0" borderId="48" xfId="2" applyFont="1" applyBorder="1" applyAlignment="1">
      <alignment horizontal="center" wrapText="1"/>
    </xf>
    <xf numFmtId="0" fontId="40" fillId="0" borderId="60" xfId="2" applyFont="1" applyBorder="1" applyAlignment="1">
      <alignment horizontal="center" wrapText="1"/>
    </xf>
    <xf numFmtId="0" fontId="23" fillId="0" borderId="32" xfId="2" applyFont="1" applyBorder="1" applyAlignment="1">
      <alignment horizontal="center" vertical="center" wrapText="1"/>
    </xf>
    <xf numFmtId="0" fontId="23" fillId="0" borderId="45" xfId="2" applyFont="1" applyBorder="1" applyAlignment="1">
      <alignment horizontal="center" vertical="center" wrapText="1"/>
    </xf>
    <xf numFmtId="0" fontId="23" fillId="0" borderId="43" xfId="2" applyFont="1" applyBorder="1" applyAlignment="1">
      <alignment horizontal="center" vertical="center" wrapText="1"/>
    </xf>
    <xf numFmtId="0" fontId="23" fillId="15" borderId="32" xfId="2" applyFont="1" applyFill="1" applyBorder="1" applyAlignment="1">
      <alignment wrapText="1"/>
    </xf>
    <xf numFmtId="0" fontId="23" fillId="15" borderId="45" xfId="2" applyFont="1" applyFill="1" applyBorder="1" applyAlignment="1">
      <alignment wrapText="1"/>
    </xf>
    <xf numFmtId="0" fontId="23" fillId="15" borderId="43" xfId="2" applyFont="1" applyFill="1" applyBorder="1" applyAlignment="1">
      <alignment wrapText="1"/>
    </xf>
    <xf numFmtId="0" fontId="40" fillId="0" borderId="42" xfId="2" applyFont="1" applyBorder="1" applyAlignment="1">
      <alignment horizontal="center" wrapText="1"/>
    </xf>
    <xf numFmtId="0" fontId="40" fillId="0" borderId="45" xfId="2" applyFont="1" applyBorder="1" applyAlignment="1">
      <alignment horizontal="center" wrapText="1"/>
    </xf>
    <xf numFmtId="0" fontId="40" fillId="0" borderId="73" xfId="2" applyFont="1" applyBorder="1" applyAlignment="1">
      <alignment horizontal="center" wrapText="1"/>
    </xf>
    <xf numFmtId="0" fontId="57" fillId="0" borderId="69" xfId="2" applyFont="1" applyBorder="1" applyAlignment="1">
      <alignment horizontal="center" vertical="center" wrapText="1"/>
    </xf>
    <xf numFmtId="0" fontId="57" fillId="0" borderId="56" xfId="2" applyFont="1" applyBorder="1" applyAlignment="1">
      <alignment horizontal="center" vertical="center" wrapText="1"/>
    </xf>
    <xf numFmtId="0" fontId="57" fillId="0" borderId="58" xfId="2" applyFont="1" applyBorder="1" applyAlignment="1">
      <alignment horizontal="center" vertical="center" wrapText="1"/>
    </xf>
    <xf numFmtId="0" fontId="57" fillId="0" borderId="54" xfId="2" applyFont="1" applyBorder="1" applyAlignment="1">
      <alignment horizontal="center" vertical="center" wrapText="1"/>
    </xf>
    <xf numFmtId="0" fontId="57" fillId="0" borderId="53" xfId="2" applyFont="1" applyBorder="1" applyAlignment="1">
      <alignment horizontal="center" vertical="center" wrapText="1"/>
    </xf>
    <xf numFmtId="0" fontId="57" fillId="0" borderId="72" xfId="2" applyFont="1" applyBorder="1" applyAlignment="1">
      <alignment horizontal="center" vertical="center" wrapText="1"/>
    </xf>
    <xf numFmtId="0" fontId="22" fillId="0" borderId="0" xfId="2" applyFont="1" applyAlignment="1"/>
    <xf numFmtId="14" fontId="25" fillId="0" borderId="0" xfId="2" applyNumberFormat="1" applyFont="1" applyAlignment="1"/>
    <xf numFmtId="14" fontId="22" fillId="0" borderId="0" xfId="2" applyNumberFormat="1" applyFont="1" applyAlignment="1" applyProtection="1">
      <alignment wrapText="1"/>
      <protection locked="0"/>
    </xf>
    <xf numFmtId="0" fontId="23" fillId="16" borderId="13" xfId="2" applyFont="1" applyFill="1" applyBorder="1" applyAlignment="1">
      <alignment horizontal="center" vertical="center" wrapText="1"/>
    </xf>
    <xf numFmtId="0" fontId="62" fillId="0" borderId="4" xfId="3" applyNumberFormat="1" applyFont="1" applyBorder="1"/>
    <xf numFmtId="0" fontId="63" fillId="0" borderId="0" xfId="0" applyFont="1" applyAlignment="1">
      <alignment vertical="center"/>
    </xf>
    <xf numFmtId="0" fontId="23" fillId="0" borderId="0" xfId="0" applyFont="1" applyAlignment="1">
      <alignment horizontal="left" vertical="center" indent="1"/>
    </xf>
    <xf numFmtId="0" fontId="64" fillId="0" borderId="0" xfId="0" applyFont="1" applyAlignment="1">
      <alignment vertical="center"/>
    </xf>
    <xf numFmtId="0" fontId="0" fillId="0" borderId="0" xfId="0" applyAlignment="1">
      <alignment horizontal="left" vertical="center" indent="5"/>
    </xf>
    <xf numFmtId="0" fontId="24" fillId="0" borderId="0" xfId="0" applyFont="1" applyAlignment="1">
      <alignment horizontal="left" vertical="center" indent="5"/>
    </xf>
    <xf numFmtId="0" fontId="24" fillId="0" borderId="0" xfId="0" applyFont="1" applyAlignment="1">
      <alignment horizontal="left" vertical="center" indent="6"/>
    </xf>
    <xf numFmtId="0" fontId="64" fillId="0" borderId="0" xfId="0" applyFont="1" applyAlignment="1">
      <alignment horizontal="left" vertical="center" indent="1"/>
    </xf>
    <xf numFmtId="0" fontId="64" fillId="0" borderId="0" xfId="0" applyFont="1" applyAlignment="1">
      <alignment horizontal="left" vertical="center" indent="2"/>
    </xf>
    <xf numFmtId="0" fontId="64" fillId="0" borderId="0" xfId="0" applyFont="1" applyAlignment="1">
      <alignment horizontal="left" vertical="center" wrapText="1" indent="2"/>
    </xf>
    <xf numFmtId="0" fontId="65" fillId="0" borderId="0" xfId="0" applyFont="1" applyAlignment="1">
      <alignment horizontal="left" vertical="center" indent="6"/>
    </xf>
    <xf numFmtId="0" fontId="64" fillId="0" borderId="0" xfId="0" applyFont="1" applyAlignment="1">
      <alignment horizontal="center" vertical="center" wrapText="1"/>
    </xf>
    <xf numFmtId="0" fontId="48" fillId="0" borderId="0" xfId="0" applyFont="1" applyAlignment="1">
      <alignment horizontal="left" vertical="center" indent="6"/>
    </xf>
    <xf numFmtId="0" fontId="0" fillId="0" borderId="0" xfId="0" applyAlignment="1">
      <alignment horizontal="left" vertical="center" indent="6"/>
    </xf>
    <xf numFmtId="0" fontId="0" fillId="3" borderId="4" xfId="2" applyFont="1" applyFill="1" applyBorder="1" applyAlignment="1">
      <alignment wrapText="1"/>
    </xf>
    <xf numFmtId="0" fontId="25" fillId="0" borderId="0" xfId="4" applyFont="1" applyAlignment="1">
      <alignment vertical="center"/>
    </xf>
    <xf numFmtId="0" fontId="66" fillId="0" borderId="0" xfId="0" applyFont="1" applyAlignment="1" applyProtection="1">
      <alignment vertical="center"/>
      <protection locked="0"/>
    </xf>
    <xf numFmtId="0" fontId="11" fillId="0" borderId="0" xfId="4" applyFont="1" applyAlignment="1">
      <alignment vertical="center"/>
    </xf>
    <xf numFmtId="4" fontId="0" fillId="0" borderId="0" xfId="0" applyNumberFormat="1"/>
    <xf numFmtId="14" fontId="0" fillId="0" borderId="0" xfId="0" applyNumberFormat="1"/>
    <xf numFmtId="0" fontId="0" fillId="0" borderId="0" xfId="0" applyAlignment="1">
      <alignment vertical="center" wrapText="1"/>
    </xf>
    <xf numFmtId="173" fontId="23" fillId="0" borderId="0" xfId="0" applyNumberFormat="1" applyFont="1"/>
    <xf numFmtId="173" fontId="0" fillId="0" borderId="0" xfId="0" applyNumberFormat="1"/>
    <xf numFmtId="0" fontId="23" fillId="0" borderId="4" xfId="4" applyFont="1" applyBorder="1"/>
    <xf numFmtId="0" fontId="23" fillId="0" borderId="4" xfId="4" applyFont="1" applyBorder="1" applyAlignment="1">
      <alignment horizontal="center"/>
    </xf>
    <xf numFmtId="173" fontId="23" fillId="0" borderId="4" xfId="0" applyNumberFormat="1" applyFont="1" applyBorder="1" applyAlignment="1">
      <alignment horizontal="center"/>
    </xf>
    <xf numFmtId="166" fontId="22" fillId="0" borderId="4" xfId="4" applyNumberFormat="1" applyBorder="1"/>
    <xf numFmtId="0" fontId="22" fillId="0" borderId="4" xfId="4" applyBorder="1"/>
    <xf numFmtId="173" fontId="23" fillId="0" borderId="4" xfId="0" applyNumberFormat="1" applyFont="1" applyBorder="1"/>
    <xf numFmtId="0" fontId="23" fillId="0" borderId="32" xfId="4" applyFont="1" applyBorder="1"/>
    <xf numFmtId="0" fontId="62" fillId="0" borderId="4" xfId="0" applyFont="1" applyBorder="1"/>
    <xf numFmtId="0" fontId="22" fillId="0" borderId="0" xfId="4"/>
    <xf numFmtId="0" fontId="0" fillId="0" borderId="4" xfId="0" applyBorder="1"/>
    <xf numFmtId="10" fontId="22" fillId="0" borderId="4" xfId="5" applyNumberFormat="1" applyFill="1" applyBorder="1"/>
    <xf numFmtId="4" fontId="0" fillId="0" borderId="4" xfId="4" applyNumberFormat="1" applyFont="1" applyBorder="1" applyAlignment="1">
      <alignment wrapText="1"/>
    </xf>
    <xf numFmtId="4" fontId="24" fillId="0" borderId="4" xfId="4" applyNumberFormat="1" applyFont="1" applyBorder="1"/>
    <xf numFmtId="0" fontId="56" fillId="0" borderId="0" xfId="0" applyFont="1" applyAlignment="1">
      <alignment vertical="top" wrapText="1"/>
    </xf>
    <xf numFmtId="0" fontId="0" fillId="0" borderId="0" xfId="4" applyFont="1"/>
    <xf numFmtId="0" fontId="0" fillId="0" borderId="4" xfId="4" applyFont="1" applyBorder="1" applyAlignment="1">
      <alignment wrapText="1"/>
    </xf>
    <xf numFmtId="4" fontId="45" fillId="0" borderId="0" xfId="4" applyNumberFormat="1" applyFont="1"/>
    <xf numFmtId="0" fontId="0" fillId="0" borderId="0" xfId="4" applyFont="1" applyAlignment="1">
      <alignment wrapText="1"/>
    </xf>
    <xf numFmtId="173" fontId="0" fillId="0" borderId="0" xfId="0" applyNumberFormat="1" applyAlignment="1">
      <alignment wrapText="1"/>
    </xf>
    <xf numFmtId="173" fontId="0" fillId="0" borderId="4" xfId="0" applyNumberFormat="1" applyBorder="1" applyAlignment="1">
      <alignment wrapText="1"/>
    </xf>
    <xf numFmtId="4" fontId="22" fillId="0" borderId="4" xfId="4" applyNumberFormat="1" applyBorder="1"/>
    <xf numFmtId="4" fontId="22" fillId="0" borderId="0" xfId="4" applyNumberFormat="1"/>
    <xf numFmtId="0" fontId="22" fillId="0" borderId="4" xfId="4" applyBorder="1" applyAlignment="1">
      <alignment horizontal="left"/>
    </xf>
    <xf numFmtId="4" fontId="23" fillId="14" borderId="4" xfId="4" applyNumberFormat="1" applyFont="1" applyFill="1" applyBorder="1" applyAlignment="1">
      <alignment wrapText="1"/>
    </xf>
    <xf numFmtId="4" fontId="23" fillId="0" borderId="4" xfId="4" applyNumberFormat="1" applyFont="1" applyBorder="1"/>
    <xf numFmtId="2" fontId="0" fillId="0" borderId="4" xfId="0" applyNumberFormat="1" applyBorder="1" applyAlignment="1">
      <alignment wrapText="1"/>
    </xf>
    <xf numFmtId="2" fontId="0" fillId="0" borderId="4" xfId="0" applyNumberFormat="1" applyBorder="1"/>
    <xf numFmtId="2" fontId="0" fillId="0" borderId="0" xfId="0" applyNumberFormat="1"/>
    <xf numFmtId="0" fontId="0" fillId="0" borderId="4" xfId="4" applyFont="1" applyBorder="1"/>
    <xf numFmtId="173" fontId="0" fillId="0" borderId="4" xfId="0" applyNumberFormat="1" applyBorder="1"/>
    <xf numFmtId="0" fontId="24" fillId="0" borderId="0" xfId="0" applyFont="1" applyAlignment="1">
      <alignment horizontal="center" wrapText="1"/>
    </xf>
    <xf numFmtId="4" fontId="0" fillId="0" borderId="4" xfId="0" applyNumberFormat="1" applyBorder="1" applyAlignment="1">
      <alignment wrapText="1"/>
    </xf>
    <xf numFmtId="4" fontId="0" fillId="0" borderId="4" xfId="4" applyNumberFormat="1" applyFont="1" applyBorder="1"/>
    <xf numFmtId="4" fontId="23" fillId="0" borderId="4" xfId="0" applyNumberFormat="1" applyFont="1" applyBorder="1"/>
    <xf numFmtId="167" fontId="0" fillId="0" borderId="4" xfId="0" applyNumberFormat="1" applyBorder="1"/>
    <xf numFmtId="4" fontId="0" fillId="0" borderId="4" xfId="0" applyNumberFormat="1" applyBorder="1"/>
    <xf numFmtId="4" fontId="22" fillId="0" borderId="4" xfId="6" applyNumberFormat="1" applyBorder="1"/>
    <xf numFmtId="4" fontId="23" fillId="14" borderId="4" xfId="0" applyNumberFormat="1" applyFont="1" applyFill="1" applyBorder="1"/>
    <xf numFmtId="4" fontId="0" fillId="14" borderId="4" xfId="0" applyNumberFormat="1" applyFill="1" applyBorder="1"/>
    <xf numFmtId="173" fontId="45" fillId="0" borderId="0" xfId="0" applyNumberFormat="1" applyFont="1"/>
    <xf numFmtId="166" fontId="0" fillId="0" borderId="0" xfId="0" applyNumberFormat="1"/>
    <xf numFmtId="0" fontId="71" fillId="0" borderId="0" xfId="0" applyFont="1"/>
    <xf numFmtId="0" fontId="72" fillId="0" borderId="0" xfId="3" applyNumberFormat="1" applyFont="1"/>
    <xf numFmtId="0" fontId="47" fillId="0" borderId="0" xfId="3" applyNumberFormat="1" applyFont="1"/>
    <xf numFmtId="4" fontId="47" fillId="0" borderId="0" xfId="3" applyNumberFormat="1" applyFont="1"/>
    <xf numFmtId="173" fontId="22" fillId="0" borderId="0" xfId="3"/>
    <xf numFmtId="0" fontId="73" fillId="0" borderId="0" xfId="3" applyNumberFormat="1" applyFont="1"/>
    <xf numFmtId="4" fontId="73" fillId="0" borderId="0" xfId="3" applyNumberFormat="1" applyFont="1"/>
    <xf numFmtId="0" fontId="73" fillId="0" borderId="0" xfId="3" applyNumberFormat="1" applyFont="1" applyAlignment="1">
      <alignment vertical="top"/>
    </xf>
    <xf numFmtId="1" fontId="0" fillId="0" borderId="0" xfId="0" applyNumberFormat="1"/>
    <xf numFmtId="173" fontId="0" fillId="7" borderId="0" xfId="0" applyNumberFormat="1" applyFill="1"/>
    <xf numFmtId="169" fontId="23" fillId="7" borderId="4" xfId="0" applyNumberFormat="1" applyFont="1" applyFill="1" applyBorder="1"/>
    <xf numFmtId="169" fontId="23" fillId="19" borderId="4" xfId="0" applyNumberFormat="1" applyFont="1" applyFill="1" applyBorder="1"/>
    <xf numFmtId="0" fontId="76" fillId="0" borderId="0" xfId="3" applyNumberFormat="1" applyFont="1" applyFill="1"/>
    <xf numFmtId="167" fontId="23" fillId="19" borderId="4" xfId="0" applyNumberFormat="1" applyFont="1" applyFill="1" applyBorder="1"/>
    <xf numFmtId="0" fontId="31" fillId="6" borderId="41" xfId="0" applyFont="1" applyFill="1" applyBorder="1" applyAlignment="1">
      <alignment horizontal="left" wrapText="1"/>
    </xf>
    <xf numFmtId="0" fontId="87" fillId="2" borderId="0" xfId="0" applyFont="1" applyFill="1" applyAlignment="1"/>
    <xf numFmtId="1" fontId="88" fillId="2" borderId="0" xfId="0" applyNumberFormat="1" applyFont="1" applyFill="1" applyAlignment="1">
      <alignment horizontal="left"/>
    </xf>
    <xf numFmtId="4" fontId="23" fillId="0" borderId="8" xfId="0" applyNumberFormat="1" applyFont="1" applyFill="1" applyBorder="1"/>
    <xf numFmtId="0" fontId="85" fillId="2" borderId="0" xfId="0" applyFont="1" applyFill="1" applyAlignment="1">
      <alignment horizontal="left"/>
    </xf>
    <xf numFmtId="14" fontId="27" fillId="2" borderId="0" xfId="0" applyNumberFormat="1" applyFont="1" applyFill="1" applyAlignment="1">
      <alignment horizontal="left"/>
    </xf>
    <xf numFmtId="0" fontId="27" fillId="2" borderId="0" xfId="0" applyFont="1" applyFill="1" applyAlignment="1">
      <alignment horizontal="left" vertical="center"/>
    </xf>
    <xf numFmtId="0" fontId="27" fillId="2" borderId="0" xfId="0" applyFont="1" applyFill="1" applyAlignment="1" applyProtection="1">
      <alignment horizontal="left"/>
    </xf>
    <xf numFmtId="0" fontId="27" fillId="2" borderId="0" xfId="0" applyFont="1" applyFill="1" applyAlignment="1">
      <alignment horizontal="left" wrapText="1"/>
    </xf>
    <xf numFmtId="0" fontId="28" fillId="2" borderId="0" xfId="0" applyFont="1" applyFill="1" applyAlignment="1">
      <alignment horizontal="left"/>
    </xf>
    <xf numFmtId="0" fontId="61" fillId="2" borderId="0" xfId="0" applyFont="1" applyFill="1" applyBorder="1" applyAlignment="1">
      <alignment wrapText="1"/>
    </xf>
    <xf numFmtId="164" fontId="28" fillId="5" borderId="77" xfId="0" applyNumberFormat="1" applyFont="1" applyFill="1" applyBorder="1" applyAlignment="1">
      <alignment horizontal="left"/>
    </xf>
    <xf numFmtId="164" fontId="27" fillId="2" borderId="0" xfId="0" applyNumberFormat="1" applyFont="1" applyFill="1"/>
    <xf numFmtId="14" fontId="31" fillId="6" borderId="49" xfId="0" applyNumberFormat="1" applyFont="1" applyFill="1" applyBorder="1" applyAlignment="1" applyProtection="1">
      <alignment horizontal="left" vertical="center"/>
      <protection locked="0"/>
    </xf>
    <xf numFmtId="168" fontId="31" fillId="2" borderId="0" xfId="0" applyNumberFormat="1" applyFont="1" applyFill="1" applyAlignment="1">
      <alignment horizontal="left" wrapText="1"/>
    </xf>
    <xf numFmtId="176" fontId="27" fillId="2" borderId="0" xfId="0" applyNumberFormat="1" applyFont="1" applyFill="1"/>
    <xf numFmtId="0" fontId="31" fillId="2" borderId="0" xfId="0" applyFont="1" applyFill="1" applyAlignment="1">
      <alignment wrapText="1"/>
    </xf>
    <xf numFmtId="173" fontId="0" fillId="20" borderId="4" xfId="0" applyNumberFormat="1" applyFill="1" applyBorder="1" applyAlignment="1">
      <alignment wrapText="1"/>
    </xf>
    <xf numFmtId="0" fontId="24" fillId="0" borderId="0" xfId="2" applyFont="1" applyAlignment="1">
      <alignment wrapText="1"/>
    </xf>
    <xf numFmtId="4" fontId="31" fillId="0" borderId="23" xfId="1" applyNumberFormat="1" applyFont="1" applyFill="1" applyBorder="1" applyAlignment="1" applyProtection="1">
      <alignment horizontal="center" vertical="center"/>
      <protection locked="0"/>
    </xf>
    <xf numFmtId="3" fontId="31" fillId="0" borderId="4" xfId="1" applyNumberFormat="1" applyFont="1" applyFill="1" applyBorder="1" applyAlignment="1" applyProtection="1">
      <alignment horizontal="center" vertical="center"/>
      <protection locked="0"/>
    </xf>
    <xf numFmtId="3" fontId="31" fillId="0" borderId="23" xfId="1" applyNumberFormat="1" applyFont="1" applyFill="1" applyBorder="1" applyAlignment="1" applyProtection="1">
      <alignment horizontal="center" vertical="center"/>
      <protection locked="0"/>
    </xf>
    <xf numFmtId="14" fontId="31" fillId="0" borderId="30" xfId="0" applyNumberFormat="1" applyFont="1" applyFill="1" applyBorder="1" applyAlignment="1" applyProtection="1">
      <alignment horizontal="center" vertical="center"/>
      <protection locked="0"/>
    </xf>
    <xf numFmtId="4" fontId="31" fillId="0" borderId="51" xfId="1" applyNumberFormat="1" applyFont="1" applyFill="1" applyBorder="1" applyAlignment="1" applyProtection="1">
      <alignment horizontal="center" vertical="center"/>
      <protection locked="0"/>
    </xf>
    <xf numFmtId="14" fontId="0" fillId="11" borderId="4" xfId="0" applyNumberFormat="1" applyFill="1" applyBorder="1" applyAlignment="1">
      <alignment wrapText="1"/>
    </xf>
    <xf numFmtId="4" fontId="31" fillId="6" borderId="23" xfId="1" applyNumberFormat="1" applyFont="1" applyFill="1" applyBorder="1" applyAlignment="1" applyProtection="1">
      <alignment horizontal="center" vertical="center"/>
    </xf>
    <xf numFmtId="0" fontId="0" fillId="17" borderId="0" xfId="0" applyFill="1" applyProtection="1">
      <protection hidden="1"/>
    </xf>
    <xf numFmtId="0" fontId="0" fillId="17" borderId="4" xfId="0" applyFill="1" applyBorder="1" applyAlignment="1" applyProtection="1">
      <alignment wrapText="1"/>
      <protection hidden="1"/>
    </xf>
    <xf numFmtId="0" fontId="0" fillId="17" borderId="4" xfId="0" applyFill="1" applyBorder="1" applyProtection="1">
      <protection hidden="1"/>
    </xf>
    <xf numFmtId="0" fontId="0" fillId="0" borderId="4" xfId="0" applyFill="1" applyBorder="1" applyProtection="1">
      <protection hidden="1"/>
    </xf>
    <xf numFmtId="0" fontId="62" fillId="0" borderId="0" xfId="0" applyFont="1" applyFill="1" applyProtection="1">
      <protection hidden="1"/>
    </xf>
    <xf numFmtId="0" fontId="22" fillId="0" borderId="0" xfId="2" applyFont="1" applyAlignment="1" applyProtection="1">
      <alignment wrapText="1"/>
    </xf>
    <xf numFmtId="0" fontId="62" fillId="18" borderId="0" xfId="0" applyFont="1" applyFill="1" applyProtection="1">
      <protection hidden="1"/>
    </xf>
    <xf numFmtId="14" fontId="22" fillId="0" borderId="0" xfId="2" applyNumberFormat="1" applyFont="1" applyAlignment="1" applyProtection="1">
      <alignment wrapText="1"/>
    </xf>
    <xf numFmtId="1" fontId="39" fillId="7" borderId="4" xfId="2" applyNumberFormat="1" applyFont="1" applyFill="1" applyBorder="1" applyAlignment="1" applyProtection="1">
      <alignment wrapText="1"/>
    </xf>
    <xf numFmtId="0" fontId="39" fillId="0" borderId="4" xfId="2" applyFont="1" applyBorder="1" applyAlignment="1" applyProtection="1">
      <alignment wrapText="1"/>
    </xf>
    <xf numFmtId="0" fontId="39" fillId="7" borderId="4" xfId="2" applyFont="1" applyFill="1" applyBorder="1" applyAlignment="1" applyProtection="1">
      <alignment wrapText="1"/>
    </xf>
    <xf numFmtId="14" fontId="39" fillId="0" borderId="4" xfId="2" applyNumberFormat="1" applyFont="1" applyFill="1" applyBorder="1" applyAlignment="1" applyProtection="1">
      <alignment wrapText="1"/>
    </xf>
    <xf numFmtId="4" fontId="13" fillId="7" borderId="9" xfId="3" applyNumberFormat="1" applyFont="1" applyFill="1" applyBorder="1" applyAlignment="1" applyProtection="1">
      <alignment wrapText="1"/>
    </xf>
    <xf numFmtId="4" fontId="22" fillId="0" borderId="0" xfId="2" applyNumberFormat="1" applyFont="1" applyAlignment="1" applyProtection="1">
      <alignment wrapText="1"/>
    </xf>
    <xf numFmtId="3" fontId="13" fillId="7" borderId="9" xfId="3" applyNumberFormat="1" applyFont="1" applyFill="1" applyBorder="1" applyAlignment="1" applyProtection="1">
      <alignment wrapText="1"/>
    </xf>
    <xf numFmtId="4" fontId="22" fillId="7" borderId="4" xfId="2" applyNumberFormat="1" applyFill="1" applyBorder="1" applyAlignment="1" applyProtection="1">
      <alignment wrapText="1"/>
    </xf>
    <xf numFmtId="3" fontId="22" fillId="7" borderId="17" xfId="2" applyNumberFormat="1" applyFill="1" applyBorder="1" applyAlignment="1" applyProtection="1">
      <alignment wrapText="1"/>
    </xf>
    <xf numFmtId="169" fontId="23" fillId="0" borderId="4" xfId="2" applyNumberFormat="1" applyFont="1" applyBorder="1" applyAlignment="1" applyProtection="1">
      <alignment wrapText="1"/>
    </xf>
    <xf numFmtId="14" fontId="22" fillId="4" borderId="32" xfId="2" applyNumberFormat="1" applyFont="1" applyFill="1" applyBorder="1" applyAlignment="1" applyProtection="1">
      <alignment wrapText="1"/>
    </xf>
    <xf numFmtId="169" fontId="22" fillId="0" borderId="0" xfId="2" applyNumberFormat="1" applyFont="1" applyAlignment="1" applyProtection="1">
      <alignment wrapText="1"/>
    </xf>
    <xf numFmtId="4" fontId="22" fillId="4" borderId="32" xfId="2" applyNumberFormat="1" applyFont="1" applyFill="1" applyBorder="1" applyAlignment="1" applyProtection="1">
      <alignment wrapText="1"/>
    </xf>
    <xf numFmtId="4" fontId="22" fillId="0" borderId="4" xfId="2" applyNumberFormat="1" applyFont="1" applyBorder="1" applyAlignment="1" applyProtection="1">
      <alignment wrapText="1"/>
    </xf>
    <xf numFmtId="174" fontId="22" fillId="0" borderId="0" xfId="1" applyNumberFormat="1" applyFont="1" applyAlignment="1" applyProtection="1">
      <alignment wrapText="1"/>
    </xf>
    <xf numFmtId="3" fontId="22" fillId="7" borderId="40" xfId="2" applyNumberFormat="1" applyFill="1" applyBorder="1" applyAlignment="1" applyProtection="1">
      <alignment wrapText="1"/>
    </xf>
    <xf numFmtId="14" fontId="22" fillId="7" borderId="17" xfId="2" applyNumberFormat="1" applyFill="1" applyBorder="1" applyAlignment="1" applyProtection="1">
      <alignment wrapText="1"/>
    </xf>
    <xf numFmtId="3" fontId="22" fillId="7" borderId="43" xfId="2" applyNumberFormat="1" applyFill="1" applyBorder="1" applyAlignment="1" applyProtection="1">
      <alignment wrapText="1"/>
    </xf>
    <xf numFmtId="14" fontId="22" fillId="7" borderId="43" xfId="2" applyNumberFormat="1" applyFill="1" applyBorder="1" applyAlignment="1" applyProtection="1">
      <alignment wrapText="1"/>
    </xf>
    <xf numFmtId="3" fontId="22" fillId="7" borderId="47" xfId="2" applyNumberFormat="1" applyFill="1" applyBorder="1" applyAlignment="1" applyProtection="1">
      <alignment wrapText="1"/>
    </xf>
    <xf numFmtId="14" fontId="22" fillId="7" borderId="47" xfId="2" applyNumberFormat="1" applyFill="1" applyBorder="1" applyAlignment="1" applyProtection="1">
      <alignment wrapText="1"/>
    </xf>
    <xf numFmtId="14" fontId="22" fillId="7" borderId="47" xfId="2" applyNumberFormat="1" applyFill="1" applyBorder="1" applyAlignment="1" applyProtection="1">
      <alignment horizontal="right" wrapText="1"/>
    </xf>
    <xf numFmtId="4" fontId="22" fillId="4" borderId="4" xfId="4" applyNumberFormat="1" applyFill="1" applyBorder="1" applyProtection="1"/>
    <xf numFmtId="4" fontId="0" fillId="4" borderId="4" xfId="4" applyNumberFormat="1" applyFont="1" applyFill="1" applyBorder="1" applyProtection="1"/>
    <xf numFmtId="2" fontId="0" fillId="4" borderId="4" xfId="0" applyNumberFormat="1" applyFill="1" applyBorder="1" applyAlignment="1" applyProtection="1">
      <alignment horizontal="left"/>
    </xf>
    <xf numFmtId="3" fontId="13" fillId="7" borderId="9" xfId="3" applyNumberFormat="1" applyFont="1" applyFill="1" applyBorder="1" applyAlignment="1" applyProtection="1">
      <alignment wrapText="1"/>
      <protection locked="0"/>
    </xf>
    <xf numFmtId="166" fontId="41" fillId="11" borderId="4" xfId="2" applyNumberFormat="1" applyFont="1" applyFill="1" applyBorder="1" applyAlignment="1">
      <alignment wrapText="1"/>
    </xf>
    <xf numFmtId="4" fontId="22" fillId="6" borderId="4" xfId="2" applyNumberFormat="1" applyFill="1" applyBorder="1" applyAlignment="1">
      <alignment horizontal="right" wrapText="1"/>
    </xf>
    <xf numFmtId="0" fontId="90" fillId="0" borderId="0" xfId="2" applyFont="1"/>
    <xf numFmtId="0" fontId="32" fillId="5" borderId="54" xfId="0" applyFont="1" applyFill="1" applyBorder="1" applyAlignment="1">
      <alignment horizontal="center" vertical="center" wrapText="1"/>
    </xf>
    <xf numFmtId="0" fontId="32" fillId="5" borderId="52" xfId="0" applyFont="1" applyFill="1" applyBorder="1" applyAlignment="1">
      <alignment horizontal="center" vertical="center" wrapText="1"/>
    </xf>
    <xf numFmtId="0" fontId="32" fillId="5" borderId="28" xfId="0" applyFont="1" applyFill="1" applyBorder="1" applyAlignment="1">
      <alignment horizontal="center" vertical="center" wrapText="1"/>
    </xf>
    <xf numFmtId="4" fontId="32" fillId="5" borderId="31" xfId="0" applyNumberFormat="1" applyFont="1" applyFill="1" applyBorder="1" applyAlignment="1">
      <alignment horizontal="center" vertical="center" wrapText="1"/>
    </xf>
    <xf numFmtId="0" fontId="26" fillId="2" borderId="0" xfId="0" applyFont="1" applyFill="1" applyBorder="1" applyAlignment="1"/>
    <xf numFmtId="49" fontId="33" fillId="2" borderId="0" xfId="0" applyNumberFormat="1" applyFont="1" applyFill="1" applyBorder="1" applyAlignment="1">
      <alignment horizontal="left"/>
    </xf>
    <xf numFmtId="0" fontId="27" fillId="2" borderId="0" xfId="0" applyFont="1" applyFill="1" applyBorder="1" applyAlignment="1">
      <alignment horizontal="left"/>
    </xf>
    <xf numFmtId="0" fontId="27" fillId="0" borderId="0" xfId="0" applyFont="1" applyBorder="1"/>
    <xf numFmtId="0" fontId="33" fillId="2" borderId="0" xfId="0" applyFont="1" applyFill="1" applyBorder="1"/>
    <xf numFmtId="0" fontId="33" fillId="2" borderId="0" xfId="0" applyFont="1" applyFill="1" applyBorder="1" applyAlignment="1" applyProtection="1">
      <alignment horizontal="right"/>
      <protection locked="0"/>
    </xf>
    <xf numFmtId="0" fontId="28" fillId="2" borderId="0" xfId="0" applyFont="1" applyFill="1" applyBorder="1"/>
    <xf numFmtId="0" fontId="28" fillId="2" borderId="0" xfId="0" applyFont="1" applyFill="1" applyBorder="1" applyAlignment="1"/>
    <xf numFmtId="0" fontId="28" fillId="2" borderId="0" xfId="0" applyFont="1" applyFill="1" applyBorder="1" applyAlignment="1">
      <alignment vertical="top"/>
    </xf>
    <xf numFmtId="0" fontId="85" fillId="2" borderId="0" xfId="0" applyFont="1" applyFill="1" applyBorder="1" applyAlignment="1">
      <alignment horizontal="left" vertical="top"/>
    </xf>
    <xf numFmtId="164" fontId="32" fillId="6" borderId="24" xfId="0" applyNumberFormat="1" applyFont="1" applyFill="1" applyBorder="1" applyAlignment="1">
      <alignment horizontal="center" vertical="center"/>
    </xf>
    <xf numFmtId="0" fontId="31" fillId="6" borderId="23" xfId="0" applyFont="1" applyFill="1" applyBorder="1" applyAlignment="1">
      <alignment horizontal="center" vertical="center"/>
    </xf>
    <xf numFmtId="0" fontId="32" fillId="6" borderId="4" xfId="0" applyFont="1" applyFill="1" applyBorder="1" applyAlignment="1">
      <alignment horizontal="center" vertical="center"/>
    </xf>
    <xf numFmtId="0" fontId="32" fillId="6" borderId="23" xfId="0" applyFont="1" applyFill="1" applyBorder="1" applyAlignment="1">
      <alignment horizontal="center" vertical="center"/>
    </xf>
    <xf numFmtId="0" fontId="32" fillId="6" borderId="2" xfId="0" applyFont="1" applyFill="1" applyBorder="1" applyAlignment="1">
      <alignment horizontal="center" vertical="center"/>
    </xf>
    <xf numFmtId="0" fontId="32" fillId="6" borderId="28" xfId="0" applyFont="1" applyFill="1" applyBorder="1" applyAlignment="1">
      <alignment horizontal="center" vertical="center"/>
    </xf>
    <xf numFmtId="0" fontId="31" fillId="6" borderId="4" xfId="0" applyFont="1" applyFill="1" applyBorder="1" applyAlignment="1">
      <alignment horizontal="center" vertical="center"/>
    </xf>
    <xf numFmtId="0" fontId="31" fillId="6" borderId="28" xfId="0" applyFont="1" applyFill="1" applyBorder="1" applyAlignment="1">
      <alignment horizontal="center" vertical="center"/>
    </xf>
    <xf numFmtId="164" fontId="32" fillId="6" borderId="31" xfId="0" applyNumberFormat="1" applyFont="1" applyFill="1" applyBorder="1" applyAlignment="1">
      <alignment horizontal="center" vertical="center"/>
    </xf>
    <xf numFmtId="12" fontId="31" fillId="6" borderId="9" xfId="0" applyNumberFormat="1" applyFont="1" applyFill="1" applyBorder="1" applyAlignment="1">
      <alignment horizontal="center" vertical="center"/>
    </xf>
    <xf numFmtId="0" fontId="39" fillId="7" borderId="4" xfId="2" applyFont="1" applyFill="1" applyBorder="1" applyAlignment="1" applyProtection="1">
      <alignment wrapText="1"/>
      <protection locked="0"/>
    </xf>
    <xf numFmtId="0" fontId="92" fillId="2" borderId="0" xfId="0" applyFont="1" applyFill="1" applyBorder="1" applyAlignment="1">
      <alignment vertical="top"/>
    </xf>
    <xf numFmtId="166" fontId="92" fillId="2" borderId="0" xfId="0" applyNumberFormat="1" applyFont="1" applyFill="1" applyAlignment="1">
      <alignment horizontal="left"/>
    </xf>
    <xf numFmtId="0" fontId="13" fillId="2" borderId="0" xfId="0" applyFont="1" applyFill="1" applyBorder="1" applyAlignment="1">
      <alignment vertical="center" wrapText="1"/>
    </xf>
    <xf numFmtId="4" fontId="22" fillId="7" borderId="4" xfId="2" applyNumberFormat="1" applyFont="1" applyFill="1" applyBorder="1" applyAlignment="1" applyProtection="1">
      <alignment wrapText="1"/>
      <protection locked="0"/>
    </xf>
    <xf numFmtId="177" fontId="47" fillId="0" borderId="4" xfId="5" applyNumberFormat="1" applyFont="1" applyFill="1" applyBorder="1" applyAlignment="1">
      <alignment wrapText="1"/>
    </xf>
    <xf numFmtId="166" fontId="31" fillId="6" borderId="23"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6" fontId="31" fillId="6" borderId="28" xfId="0" applyNumberFormat="1" applyFont="1" applyFill="1" applyBorder="1" applyAlignment="1">
      <alignment horizontal="center" vertical="center"/>
    </xf>
    <xf numFmtId="164" fontId="28" fillId="5" borderId="77" xfId="0" applyNumberFormat="1" applyFont="1" applyFill="1" applyBorder="1" applyAlignment="1">
      <alignment horizontal="center"/>
    </xf>
    <xf numFmtId="0" fontId="25" fillId="2" borderId="0" xfId="4" applyFont="1" applyFill="1" applyProtection="1"/>
    <xf numFmtId="0" fontId="77" fillId="2" borderId="0" xfId="0" applyFont="1" applyFill="1" applyProtection="1"/>
    <xf numFmtId="0" fontId="0" fillId="2" borderId="0" xfId="0" applyFill="1" applyProtection="1"/>
    <xf numFmtId="0" fontId="0" fillId="2" borderId="0" xfId="2" applyFont="1" applyFill="1" applyAlignment="1" applyProtection="1">
      <alignment wrapText="1"/>
    </xf>
    <xf numFmtId="14" fontId="55" fillId="2" borderId="0" xfId="2" applyNumberFormat="1" applyFont="1" applyFill="1" applyAlignment="1" applyProtection="1">
      <alignment wrapText="1"/>
    </xf>
    <xf numFmtId="0" fontId="55" fillId="2" borderId="0" xfId="2" applyFont="1" applyFill="1" applyAlignment="1" applyProtection="1">
      <alignment wrapText="1"/>
    </xf>
    <xf numFmtId="0" fontId="81" fillId="2" borderId="4" xfId="0" applyFont="1" applyFill="1" applyBorder="1" applyAlignment="1" applyProtection="1">
      <alignment wrapText="1"/>
    </xf>
    <xf numFmtId="0" fontId="55" fillId="2" borderId="4" xfId="0" applyFont="1" applyFill="1" applyBorder="1" applyAlignment="1" applyProtection="1">
      <alignment wrapText="1"/>
    </xf>
    <xf numFmtId="0" fontId="55" fillId="2" borderId="41" xfId="0" applyFont="1" applyFill="1" applyBorder="1" applyProtection="1"/>
    <xf numFmtId="0" fontId="23" fillId="2" borderId="0" xfId="2" applyFont="1" applyFill="1" applyAlignment="1" applyProtection="1">
      <alignment wrapText="1"/>
    </xf>
    <xf numFmtId="164" fontId="28" fillId="7" borderId="1" xfId="0" applyNumberFormat="1" applyFont="1" applyFill="1" applyBorder="1" applyAlignment="1">
      <alignment horizontal="left"/>
    </xf>
    <xf numFmtId="164" fontId="28" fillId="7" borderId="29" xfId="0" applyNumberFormat="1" applyFont="1" applyFill="1" applyBorder="1" applyAlignment="1">
      <alignment horizontal="center" vertical="center"/>
    </xf>
    <xf numFmtId="0" fontId="78" fillId="2" borderId="0" xfId="0" applyFont="1" applyFill="1" applyAlignment="1" applyProtection="1">
      <alignment horizontal="left" vertical="center"/>
    </xf>
    <xf numFmtId="0" fontId="79" fillId="2" borderId="0" xfId="0" applyFont="1" applyFill="1" applyProtection="1"/>
    <xf numFmtId="0" fontId="25" fillId="2" borderId="0" xfId="0" applyFont="1" applyFill="1" applyProtection="1"/>
    <xf numFmtId="0" fontId="22" fillId="2" borderId="0" xfId="0" applyFont="1" applyFill="1" applyProtection="1"/>
    <xf numFmtId="0" fontId="80" fillId="2" borderId="0" xfId="0" applyFont="1" applyFill="1" applyAlignment="1" applyProtection="1">
      <alignment horizontal="center" vertical="center" wrapText="1"/>
    </xf>
    <xf numFmtId="0" fontId="32" fillId="5" borderId="28" xfId="0" applyFont="1" applyFill="1" applyBorder="1" applyAlignment="1" applyProtection="1">
      <alignment horizontal="center" vertical="center" wrapText="1"/>
    </xf>
    <xf numFmtId="49" fontId="9" fillId="2" borderId="4" xfId="0" applyNumberFormat="1" applyFont="1" applyFill="1" applyBorder="1" applyAlignment="1" applyProtection="1">
      <alignment horizontal="left" wrapText="1"/>
    </xf>
    <xf numFmtId="0" fontId="23" fillId="2" borderId="4" xfId="0" applyFont="1" applyFill="1" applyBorder="1" applyAlignment="1" applyProtection="1">
      <alignment wrapText="1"/>
    </xf>
    <xf numFmtId="0" fontId="82" fillId="2" borderId="4" xfId="0" applyFont="1" applyFill="1" applyBorder="1" applyAlignment="1" applyProtection="1">
      <alignment vertical="top" wrapText="1"/>
    </xf>
    <xf numFmtId="0" fontId="0" fillId="2" borderId="0" xfId="0" applyFill="1" applyAlignment="1" applyProtection="1">
      <alignment vertical="top"/>
    </xf>
    <xf numFmtId="14" fontId="83" fillId="6" borderId="4" xfId="0" applyNumberFormat="1" applyFont="1" applyFill="1" applyBorder="1" applyProtection="1"/>
    <xf numFmtId="4" fontId="7" fillId="2" borderId="76" xfId="0" applyNumberFormat="1" applyFont="1" applyFill="1" applyBorder="1" applyProtection="1"/>
    <xf numFmtId="0" fontId="22" fillId="6" borderId="4" xfId="0" applyFont="1" applyFill="1" applyBorder="1" applyProtection="1"/>
    <xf numFmtId="14" fontId="83" fillId="2" borderId="4" xfId="0" applyNumberFormat="1" applyFont="1" applyFill="1" applyBorder="1" applyProtection="1"/>
    <xf numFmtId="4" fontId="7" fillId="2" borderId="0" xfId="0" applyNumberFormat="1" applyFont="1" applyFill="1" applyProtection="1"/>
    <xf numFmtId="4" fontId="82" fillId="2" borderId="0" xfId="0" applyNumberFormat="1" applyFont="1" applyFill="1" applyAlignment="1" applyProtection="1">
      <alignment vertical="top"/>
    </xf>
    <xf numFmtId="0" fontId="0" fillId="2" borderId="0" xfId="0" applyFill="1" applyAlignment="1" applyProtection="1">
      <alignment horizontal="center" wrapText="1"/>
    </xf>
    <xf numFmtId="2" fontId="0" fillId="7" borderId="0" xfId="0" applyNumberFormat="1" applyFill="1" applyProtection="1"/>
    <xf numFmtId="2" fontId="82" fillId="2" borderId="0" xfId="0" applyNumberFormat="1" applyFont="1" applyFill="1" applyAlignment="1" applyProtection="1">
      <alignment vertical="top"/>
    </xf>
    <xf numFmtId="0" fontId="55" fillId="2" borderId="0" xfId="0" applyFont="1" applyFill="1" applyProtection="1"/>
    <xf numFmtId="0" fontId="81" fillId="2" borderId="0" xfId="0" applyFont="1" applyFill="1" applyAlignment="1" applyProtection="1">
      <alignment wrapText="1"/>
    </xf>
    <xf numFmtId="0" fontId="55" fillId="2" borderId="0" xfId="0" applyFont="1" applyFill="1" applyAlignment="1" applyProtection="1">
      <alignment vertical="top"/>
    </xf>
    <xf numFmtId="0" fontId="81" fillId="2" borderId="0" xfId="0" applyFont="1" applyFill="1" applyProtection="1"/>
    <xf numFmtId="1" fontId="55" fillId="2" borderId="0" xfId="0" applyNumberFormat="1" applyFont="1" applyFill="1" applyProtection="1"/>
    <xf numFmtId="0" fontId="55" fillId="2" borderId="0" xfId="0" applyNumberFormat="1" applyFont="1" applyFill="1" applyAlignment="1" applyProtection="1">
      <alignment vertical="top"/>
    </xf>
    <xf numFmtId="1" fontId="55" fillId="2" borderId="0" xfId="0" applyNumberFormat="1" applyFont="1" applyFill="1" applyAlignment="1" applyProtection="1">
      <alignment vertical="top"/>
    </xf>
    <xf numFmtId="0" fontId="31" fillId="2" borderId="34" xfId="0" applyFont="1" applyFill="1" applyBorder="1" applyAlignment="1">
      <alignment horizontal="left"/>
    </xf>
    <xf numFmtId="0" fontId="31" fillId="2" borderId="0" xfId="0" applyFont="1" applyFill="1" applyAlignment="1">
      <alignment horizontal="left"/>
    </xf>
    <xf numFmtId="164" fontId="32" fillId="6" borderId="24" xfId="0" applyNumberFormat="1" applyFont="1" applyFill="1" applyBorder="1" applyAlignment="1">
      <alignment horizontal="center" vertical="center"/>
    </xf>
    <xf numFmtId="164" fontId="32" fillId="6" borderId="25" xfId="0" applyNumberFormat="1" applyFont="1" applyFill="1" applyBorder="1" applyAlignment="1">
      <alignment horizontal="center" vertical="center"/>
    </xf>
    <xf numFmtId="164" fontId="32" fillId="6" borderId="22" xfId="0" applyNumberFormat="1" applyFont="1" applyFill="1" applyBorder="1" applyAlignment="1">
      <alignment horizontal="center" vertical="center"/>
    </xf>
    <xf numFmtId="0" fontId="31" fillId="6" borderId="4" xfId="0" applyFont="1" applyFill="1" applyBorder="1" applyAlignment="1">
      <alignment horizontal="center" vertical="center"/>
    </xf>
    <xf numFmtId="0" fontId="31" fillId="6" borderId="23" xfId="0" applyFont="1" applyFill="1" applyBorder="1" applyAlignment="1">
      <alignment horizontal="center" vertical="center"/>
    </xf>
    <xf numFmtId="4" fontId="31" fillId="0" borderId="8" xfId="1" applyNumberFormat="1" applyFont="1" applyFill="1" applyBorder="1" applyAlignment="1" applyProtection="1">
      <alignment horizontal="center" vertical="center"/>
      <protection locked="0"/>
    </xf>
    <xf numFmtId="1" fontId="31" fillId="6" borderId="7" xfId="0" applyNumberFormat="1" applyFont="1" applyFill="1" applyBorder="1" applyAlignment="1">
      <alignment horizontal="center" vertical="center"/>
    </xf>
    <xf numFmtId="12" fontId="31" fillId="6" borderId="8" xfId="0" applyNumberFormat="1" applyFont="1" applyFill="1" applyBorder="1" applyAlignment="1">
      <alignment horizontal="center" vertical="center"/>
    </xf>
    <xf numFmtId="166" fontId="31" fillId="6" borderId="8" xfId="0" applyNumberFormat="1" applyFont="1" applyFill="1" applyBorder="1" applyAlignment="1">
      <alignment horizontal="center" vertical="center"/>
    </xf>
    <xf numFmtId="3" fontId="31" fillId="0" borderId="7" xfId="1" applyNumberFormat="1" applyFont="1" applyFill="1" applyBorder="1" applyAlignment="1" applyProtection="1">
      <alignment horizontal="center" vertical="center"/>
      <protection locked="0"/>
    </xf>
    <xf numFmtId="0" fontId="31" fillId="6" borderId="7" xfId="0" applyFont="1" applyFill="1" applyBorder="1" applyAlignment="1">
      <alignment horizontal="center" vertical="center"/>
    </xf>
    <xf numFmtId="166" fontId="31" fillId="6" borderId="7" xfId="0" applyNumberFormat="1" applyFont="1" applyFill="1" applyBorder="1" applyAlignment="1">
      <alignment horizontal="center" vertical="center"/>
    </xf>
    <xf numFmtId="0" fontId="31" fillId="6" borderId="4" xfId="0" applyFont="1" applyFill="1" applyBorder="1" applyAlignment="1">
      <alignment horizontal="left"/>
    </xf>
    <xf numFmtId="0" fontId="31" fillId="6" borderId="41" xfId="0" applyFont="1" applyFill="1" applyBorder="1" applyAlignment="1">
      <alignment horizontal="left" vertical="top"/>
    </xf>
    <xf numFmtId="14" fontId="31" fillId="0" borderId="7" xfId="0" applyNumberFormat="1" applyFont="1" applyFill="1" applyBorder="1" applyAlignment="1" applyProtection="1">
      <alignment horizontal="center" vertical="center"/>
      <protection locked="0"/>
    </xf>
    <xf numFmtId="0" fontId="31" fillId="6" borderId="4" xfId="0" applyFont="1" applyFill="1" applyBorder="1" applyAlignment="1">
      <alignment horizontal="left" wrapText="1"/>
    </xf>
    <xf numFmtId="1" fontId="31" fillId="6" borderId="4" xfId="0" applyNumberFormat="1" applyFont="1" applyFill="1" applyBorder="1" applyAlignment="1">
      <alignment horizontal="center" vertical="center"/>
    </xf>
    <xf numFmtId="1" fontId="31" fillId="6" borderId="23" xfId="0" applyNumberFormat="1" applyFont="1" applyFill="1" applyBorder="1" applyAlignment="1">
      <alignment horizontal="center" vertical="center"/>
    </xf>
    <xf numFmtId="1" fontId="31" fillId="6" borderId="7" xfId="0" applyNumberFormat="1" applyFont="1" applyFill="1" applyBorder="1" applyAlignment="1">
      <alignment horizontal="center" vertical="center"/>
    </xf>
    <xf numFmtId="14" fontId="31" fillId="6" borderId="4" xfId="0" applyNumberFormat="1" applyFont="1" applyFill="1" applyBorder="1" applyAlignment="1" applyProtection="1">
      <alignment horizontal="left" vertical="center" wrapText="1"/>
      <protection locked="0"/>
    </xf>
    <xf numFmtId="4" fontId="31" fillId="0" borderId="4" xfId="1" applyNumberFormat="1" applyFont="1" applyFill="1" applyBorder="1" applyAlignment="1" applyProtection="1">
      <alignment horizontal="center" vertical="center"/>
      <protection locked="0"/>
    </xf>
    <xf numFmtId="14" fontId="31" fillId="0" borderId="46" xfId="1" applyNumberFormat="1" applyFont="1" applyFill="1" applyBorder="1" applyAlignment="1" applyProtection="1">
      <alignment horizontal="center" vertical="center"/>
      <protection locked="0"/>
    </xf>
    <xf numFmtId="4" fontId="31" fillId="0" borderId="2" xfId="1" applyNumberFormat="1" applyFont="1" applyFill="1" applyBorder="1" applyAlignment="1" applyProtection="1">
      <alignment horizontal="center" vertical="center"/>
      <protection locked="0"/>
    </xf>
    <xf numFmtId="0" fontId="32" fillId="5" borderId="59" xfId="0" applyFont="1" applyFill="1" applyBorder="1" applyAlignment="1">
      <alignment horizontal="center" vertical="center" wrapText="1"/>
    </xf>
    <xf numFmtId="0" fontId="32" fillId="5" borderId="36" xfId="0" applyFont="1" applyFill="1" applyBorder="1" applyAlignment="1">
      <alignment horizontal="center" vertical="center" wrapText="1"/>
    </xf>
    <xf numFmtId="0" fontId="31" fillId="6" borderId="25" xfId="0" applyFont="1" applyFill="1" applyBorder="1" applyAlignment="1">
      <alignment horizontal="center" vertical="center"/>
    </xf>
    <xf numFmtId="4" fontId="31" fillId="0" borderId="9" xfId="1" applyNumberFormat="1" applyFont="1" applyFill="1" applyBorder="1" applyAlignment="1" applyProtection="1">
      <alignment horizontal="center" vertical="center"/>
      <protection locked="0"/>
    </xf>
    <xf numFmtId="168" fontId="94" fillId="2" borderId="0" xfId="0" applyNumberFormat="1" applyFont="1" applyFill="1" applyBorder="1" applyAlignment="1">
      <alignment vertical="center" wrapText="1"/>
    </xf>
    <xf numFmtId="166" fontId="31" fillId="6" borderId="9" xfId="0" applyNumberFormat="1" applyFont="1" applyFill="1" applyBorder="1" applyAlignment="1">
      <alignment horizontal="center" vertical="center"/>
    </xf>
    <xf numFmtId="164" fontId="32" fillId="6" borderId="37" xfId="0" applyNumberFormat="1" applyFont="1" applyFill="1" applyBorder="1" applyAlignment="1">
      <alignment horizontal="center" vertical="center"/>
    </xf>
    <xf numFmtId="4" fontId="22" fillId="4" borderId="52" xfId="2" applyNumberFormat="1" applyFill="1" applyBorder="1" applyAlignment="1">
      <alignment wrapText="1"/>
    </xf>
    <xf numFmtId="0" fontId="28" fillId="2" borderId="0" xfId="0" applyFont="1" applyFill="1" applyAlignment="1">
      <alignment vertical="center"/>
    </xf>
    <xf numFmtId="0" fontId="31" fillId="2" borderId="34" xfId="0" applyFont="1" applyFill="1" applyBorder="1" applyAlignment="1">
      <alignment vertical="center"/>
    </xf>
    <xf numFmtId="0" fontId="95" fillId="2" borderId="0" xfId="0" applyFont="1" applyFill="1" applyBorder="1" applyAlignment="1">
      <alignment horizontal="left"/>
    </xf>
    <xf numFmtId="0" fontId="31" fillId="6" borderId="41" xfId="0" applyFont="1" applyFill="1" applyBorder="1" applyAlignment="1">
      <alignment horizontal="left" vertical="center" wrapText="1"/>
    </xf>
    <xf numFmtId="2" fontId="7" fillId="2" borderId="76" xfId="0" applyNumberFormat="1" applyFont="1" applyFill="1" applyBorder="1" applyProtection="1">
      <protection locked="0"/>
    </xf>
    <xf numFmtId="0" fontId="27" fillId="2" borderId="0" xfId="0" applyFont="1" applyFill="1" applyBorder="1" applyProtection="1">
      <protection locked="0"/>
    </xf>
    <xf numFmtId="0" fontId="28" fillId="2" borderId="0" xfId="0" applyFont="1" applyFill="1" applyBorder="1" applyAlignment="1" applyProtection="1">
      <alignment wrapText="1"/>
      <protection locked="0"/>
    </xf>
    <xf numFmtId="0" fontId="61" fillId="2" borderId="0" xfId="0" applyFont="1" applyFill="1" applyBorder="1" applyProtection="1">
      <protection locked="0"/>
    </xf>
    <xf numFmtId="0" fontId="28" fillId="2" borderId="0" xfId="0" applyFont="1" applyFill="1" applyBorder="1" applyAlignment="1" applyProtection="1">
      <protection locked="0"/>
    </xf>
    <xf numFmtId="0" fontId="94" fillId="2" borderId="34" xfId="0" applyNumberFormat="1" applyFont="1" applyFill="1" applyBorder="1" applyAlignment="1">
      <alignment horizontal="left" vertical="center" wrapText="1"/>
    </xf>
    <xf numFmtId="0" fontId="94" fillId="2" borderId="0" xfId="0" applyNumberFormat="1" applyFont="1" applyFill="1" applyBorder="1" applyAlignment="1">
      <alignment horizontal="left" vertical="center" wrapText="1"/>
    </xf>
    <xf numFmtId="1" fontId="31" fillId="6" borderId="23" xfId="0"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1" fontId="31" fillId="6" borderId="7" xfId="0" applyNumberFormat="1" applyFont="1" applyFill="1" applyBorder="1" applyAlignment="1">
      <alignment horizontal="center" vertical="center"/>
    </xf>
    <xf numFmtId="0" fontId="31" fillId="6" borderId="41" xfId="0" applyFont="1" applyFill="1" applyBorder="1" applyAlignment="1">
      <alignment horizontal="left" wrapText="1"/>
    </xf>
    <xf numFmtId="0" fontId="31" fillId="6" borderId="4" xfId="0" applyFont="1" applyFill="1" applyBorder="1" applyAlignment="1">
      <alignment horizontal="left" wrapText="1"/>
    </xf>
    <xf numFmtId="0" fontId="31" fillId="6" borderId="30" xfId="0" applyFont="1" applyFill="1" applyBorder="1" applyAlignment="1">
      <alignment horizontal="left" wrapText="1"/>
    </xf>
    <xf numFmtId="0" fontId="31" fillId="6" borderId="7" xfId="0" applyFont="1" applyFill="1" applyBorder="1" applyAlignment="1">
      <alignment horizontal="left" wrapText="1"/>
    </xf>
    <xf numFmtId="0" fontId="31" fillId="6" borderId="38" xfId="0" applyFont="1" applyFill="1" applyBorder="1" applyAlignment="1">
      <alignment horizontal="left"/>
    </xf>
    <xf numFmtId="0" fontId="31" fillId="6" borderId="23" xfId="0" applyFont="1" applyFill="1" applyBorder="1" applyAlignment="1">
      <alignment horizontal="left"/>
    </xf>
    <xf numFmtId="3" fontId="31" fillId="0" borderId="23" xfId="1" applyNumberFormat="1" applyFont="1" applyFill="1" applyBorder="1" applyAlignment="1" applyProtection="1">
      <alignment horizontal="center" vertical="center"/>
      <protection locked="0"/>
    </xf>
    <xf numFmtId="3" fontId="31" fillId="0" borderId="4" xfId="1" applyNumberFormat="1" applyFont="1" applyFill="1" applyBorder="1" applyAlignment="1" applyProtection="1">
      <alignment horizontal="center" vertical="center"/>
      <protection locked="0"/>
    </xf>
    <xf numFmtId="3" fontId="31" fillId="0" borderId="7" xfId="1" applyNumberFormat="1" applyFont="1" applyFill="1" applyBorder="1" applyAlignment="1" applyProtection="1">
      <alignment horizontal="center" vertical="center"/>
      <protection locked="0"/>
    </xf>
    <xf numFmtId="0" fontId="32" fillId="6" borderId="23" xfId="0" applyFont="1" applyFill="1" applyBorder="1" applyAlignment="1">
      <alignment horizontal="center" vertical="center"/>
    </xf>
    <xf numFmtId="0" fontId="32" fillId="6" borderId="4" xfId="0" applyFont="1" applyFill="1" applyBorder="1" applyAlignment="1">
      <alignment horizontal="center" vertical="center"/>
    </xf>
    <xf numFmtId="0" fontId="32" fillId="6" borderId="7" xfId="0" applyFont="1" applyFill="1" applyBorder="1" applyAlignment="1">
      <alignment horizontal="center" vertical="center"/>
    </xf>
    <xf numFmtId="0" fontId="31" fillId="6" borderId="38" xfId="0" applyFont="1" applyFill="1" applyBorder="1" applyAlignment="1">
      <alignment horizontal="left" wrapText="1"/>
    </xf>
    <xf numFmtId="0" fontId="31" fillId="6" borderId="23" xfId="0" applyFont="1" applyFill="1" applyBorder="1" applyAlignment="1">
      <alignment horizontal="left" wrapText="1"/>
    </xf>
    <xf numFmtId="164" fontId="32" fillId="6" borderId="24" xfId="0" applyNumberFormat="1" applyFont="1" applyFill="1" applyBorder="1" applyAlignment="1">
      <alignment horizontal="center" vertical="center"/>
    </xf>
    <xf numFmtId="164" fontId="32" fillId="6" borderId="25" xfId="0" applyNumberFormat="1" applyFont="1" applyFill="1" applyBorder="1" applyAlignment="1">
      <alignment horizontal="center" vertical="center"/>
    </xf>
    <xf numFmtId="164" fontId="32" fillId="6" borderId="22" xfId="0" applyNumberFormat="1" applyFont="1" applyFill="1" applyBorder="1" applyAlignment="1">
      <alignment horizontal="center" vertical="center"/>
    </xf>
    <xf numFmtId="1" fontId="31" fillId="6" borderId="23" xfId="0" applyNumberFormat="1" applyFont="1" applyFill="1" applyBorder="1" applyAlignment="1" applyProtection="1">
      <alignment horizontal="center" vertical="center"/>
    </xf>
    <xf numFmtId="1" fontId="31" fillId="6" borderId="4" xfId="0" applyNumberFormat="1" applyFont="1" applyFill="1" applyBorder="1" applyAlignment="1" applyProtection="1">
      <alignment horizontal="center" vertical="center"/>
    </xf>
    <xf numFmtId="1" fontId="31" fillId="6" borderId="7" xfId="0" applyNumberFormat="1" applyFont="1" applyFill="1" applyBorder="1" applyAlignment="1" applyProtection="1">
      <alignment horizontal="center" vertical="center"/>
    </xf>
    <xf numFmtId="167" fontId="31" fillId="6" borderId="23" xfId="0" applyNumberFormat="1" applyFont="1" applyFill="1" applyBorder="1" applyAlignment="1">
      <alignment horizontal="center" vertical="center"/>
    </xf>
    <xf numFmtId="167" fontId="31" fillId="6" borderId="4" xfId="0" applyNumberFormat="1" applyFont="1" applyFill="1" applyBorder="1" applyAlignment="1">
      <alignment horizontal="center" vertical="center"/>
    </xf>
    <xf numFmtId="167" fontId="31" fillId="6" borderId="7" xfId="0" applyNumberFormat="1" applyFont="1" applyFill="1" applyBorder="1" applyAlignment="1">
      <alignment horizontal="center" vertical="center"/>
    </xf>
    <xf numFmtId="0" fontId="28" fillId="5" borderId="62" xfId="0" applyFont="1" applyFill="1" applyBorder="1" applyAlignment="1">
      <alignment horizontal="left" vertical="center"/>
    </xf>
    <xf numFmtId="0" fontId="28" fillId="5" borderId="63" xfId="0" applyFont="1" applyFill="1" applyBorder="1" applyAlignment="1">
      <alignment horizontal="left" vertical="center"/>
    </xf>
    <xf numFmtId="0" fontId="28" fillId="5" borderId="64" xfId="0" applyFont="1" applyFill="1" applyBorder="1" applyAlignment="1">
      <alignment horizontal="left" vertical="center"/>
    </xf>
    <xf numFmtId="0" fontId="31" fillId="5" borderId="69" xfId="0" applyFont="1" applyFill="1" applyBorder="1" applyAlignment="1">
      <alignment horizontal="center" wrapText="1"/>
    </xf>
    <xf numFmtId="0" fontId="31" fillId="5" borderId="55" xfId="0" applyFont="1" applyFill="1" applyBorder="1" applyAlignment="1">
      <alignment horizontal="center" wrapText="1"/>
    </xf>
    <xf numFmtId="0" fontId="31" fillId="6" borderId="46" xfId="0" applyFont="1" applyFill="1" applyBorder="1" applyAlignment="1">
      <alignment horizontal="left" vertical="center" wrapText="1"/>
    </xf>
    <xf numFmtId="0" fontId="31" fillId="6" borderId="2" xfId="0" applyFont="1" applyFill="1" applyBorder="1" applyAlignment="1">
      <alignment horizontal="left" vertical="center" wrapText="1"/>
    </xf>
    <xf numFmtId="0" fontId="31" fillId="6" borderId="2" xfId="0" applyFont="1" applyFill="1" applyBorder="1" applyAlignment="1">
      <alignment horizontal="center" vertical="center"/>
    </xf>
    <xf numFmtId="0" fontId="31" fillId="6" borderId="3" xfId="0" applyFont="1" applyFill="1" applyBorder="1" applyAlignment="1">
      <alignment horizontal="center" vertical="center"/>
    </xf>
    <xf numFmtId="0" fontId="31" fillId="6" borderId="33" xfId="0" applyFont="1" applyFill="1" applyBorder="1" applyAlignment="1">
      <alignment horizontal="left" vertical="center" wrapText="1"/>
    </xf>
    <xf numFmtId="0" fontId="31" fillId="6" borderId="28" xfId="0" applyFont="1" applyFill="1" applyBorder="1" applyAlignment="1">
      <alignment horizontal="left" vertical="center" wrapText="1"/>
    </xf>
    <xf numFmtId="0" fontId="31" fillId="6" borderId="23" xfId="0" applyFont="1" applyFill="1" applyBorder="1" applyAlignment="1">
      <alignment horizontal="center" vertical="center"/>
    </xf>
    <xf numFmtId="0" fontId="31" fillId="6" borderId="24" xfId="0" applyFont="1" applyFill="1" applyBorder="1" applyAlignment="1">
      <alignment horizontal="center" vertical="center"/>
    </xf>
    <xf numFmtId="0" fontId="31" fillId="6" borderId="65" xfId="0" applyFont="1" applyFill="1" applyBorder="1" applyAlignment="1">
      <alignment horizontal="left" vertical="center"/>
    </xf>
    <xf numFmtId="0" fontId="31" fillId="6" borderId="66" xfId="0" applyFont="1" applyFill="1" applyBorder="1" applyAlignment="1">
      <alignment horizontal="left" vertical="center"/>
    </xf>
    <xf numFmtId="0" fontId="82" fillId="6" borderId="54" xfId="0" applyFont="1" applyFill="1" applyBorder="1" applyAlignment="1">
      <alignment horizontal="left" vertical="center" wrapText="1"/>
    </xf>
    <xf numFmtId="0" fontId="82" fillId="6" borderId="53" xfId="0" applyFont="1" applyFill="1" applyBorder="1" applyAlignment="1">
      <alignment horizontal="left" vertical="center" wrapText="1"/>
    </xf>
    <xf numFmtId="0" fontId="82" fillId="6" borderId="52" xfId="0" applyFont="1" applyFill="1" applyBorder="1" applyAlignment="1">
      <alignment horizontal="left" vertical="center" wrapText="1"/>
    </xf>
    <xf numFmtId="0" fontId="31" fillId="6" borderId="38" xfId="0" applyFont="1" applyFill="1" applyBorder="1" applyAlignment="1">
      <alignment horizontal="left" vertical="center" wrapText="1"/>
    </xf>
    <xf numFmtId="0" fontId="31" fillId="6" borderId="23" xfId="0" applyFont="1" applyFill="1" applyBorder="1" applyAlignment="1">
      <alignment horizontal="left" vertical="center" wrapText="1"/>
    </xf>
    <xf numFmtId="4" fontId="31" fillId="6" borderId="59" xfId="1" applyNumberFormat="1" applyFont="1" applyFill="1" applyBorder="1" applyAlignment="1" applyProtection="1">
      <alignment horizontal="center" vertical="center"/>
    </xf>
    <xf numFmtId="4" fontId="31" fillId="6" borderId="28" xfId="1" applyNumberFormat="1" applyFont="1" applyFill="1" applyBorder="1" applyAlignment="1" applyProtection="1">
      <alignment horizontal="center" vertical="center"/>
    </xf>
    <xf numFmtId="0" fontId="32" fillId="6" borderId="59" xfId="0" applyFont="1" applyFill="1" applyBorder="1" applyAlignment="1">
      <alignment horizontal="center" vertical="center"/>
    </xf>
    <xf numFmtId="0" fontId="32" fillId="6" borderId="28" xfId="0" applyFont="1" applyFill="1" applyBorder="1" applyAlignment="1">
      <alignment horizontal="center" vertical="center"/>
    </xf>
    <xf numFmtId="0" fontId="32" fillId="6" borderId="59" xfId="0" applyFont="1" applyFill="1" applyBorder="1" applyAlignment="1">
      <alignment horizontal="center"/>
    </xf>
    <xf numFmtId="0" fontId="32" fillId="6" borderId="28" xfId="0" applyFont="1" applyFill="1" applyBorder="1" applyAlignment="1">
      <alignment horizontal="center"/>
    </xf>
    <xf numFmtId="0" fontId="31" fillId="6" borderId="39" xfId="0" applyFont="1" applyFill="1" applyBorder="1" applyAlignment="1">
      <alignment horizontal="left" wrapText="1"/>
    </xf>
    <xf numFmtId="0" fontId="31" fillId="6" borderId="40" xfId="0" applyFont="1" applyFill="1" applyBorder="1" applyAlignment="1">
      <alignment horizontal="left" wrapText="1"/>
    </xf>
    <xf numFmtId="0" fontId="31" fillId="6" borderId="71" xfId="0" applyFont="1" applyFill="1" applyBorder="1" applyAlignment="1">
      <alignment horizontal="left" wrapText="1"/>
    </xf>
    <xf numFmtId="0" fontId="31" fillId="6" borderId="12" xfId="0" applyFont="1" applyFill="1" applyBorder="1" applyAlignment="1">
      <alignment horizontal="left" wrapText="1"/>
    </xf>
    <xf numFmtId="0" fontId="31" fillId="6" borderId="42" xfId="0" applyFont="1" applyFill="1" applyBorder="1" applyAlignment="1">
      <alignment horizontal="left" wrapText="1"/>
    </xf>
    <xf numFmtId="0" fontId="31" fillId="6" borderId="43" xfId="0" applyFont="1" applyFill="1" applyBorder="1" applyAlignment="1">
      <alignment horizontal="left" wrapText="1"/>
    </xf>
    <xf numFmtId="164" fontId="32" fillId="6" borderId="36" xfId="0" applyNumberFormat="1" applyFont="1" applyFill="1" applyBorder="1" applyAlignment="1">
      <alignment horizontal="center" vertical="center"/>
    </xf>
    <xf numFmtId="164" fontId="32" fillId="6" borderId="31" xfId="0" applyNumberFormat="1" applyFont="1" applyFill="1" applyBorder="1" applyAlignment="1">
      <alignment horizontal="center" vertical="center"/>
    </xf>
    <xf numFmtId="4" fontId="31" fillId="6" borderId="23" xfId="1" applyNumberFormat="1" applyFont="1" applyFill="1" applyBorder="1" applyAlignment="1" applyProtection="1">
      <alignment horizontal="center" vertical="center"/>
    </xf>
    <xf numFmtId="4" fontId="31" fillId="6" borderId="4" xfId="1" applyNumberFormat="1" applyFont="1" applyFill="1" applyBorder="1" applyAlignment="1" applyProtection="1">
      <alignment horizontal="center" vertical="center"/>
    </xf>
    <xf numFmtId="4" fontId="31" fillId="6" borderId="2" xfId="1" applyNumberFormat="1" applyFont="1" applyFill="1" applyBorder="1" applyAlignment="1" applyProtection="1">
      <alignment horizontal="center" vertical="center"/>
    </xf>
    <xf numFmtId="0" fontId="32" fillId="6" borderId="2" xfId="0" applyFont="1" applyFill="1" applyBorder="1" applyAlignment="1">
      <alignment horizontal="center" vertical="center"/>
    </xf>
    <xf numFmtId="0" fontId="31" fillId="6" borderId="69" xfId="0" applyFont="1" applyFill="1" applyBorder="1" applyAlignment="1">
      <alignment horizontal="left" vertical="center" wrapText="1"/>
    </xf>
    <xf numFmtId="0" fontId="31" fillId="6" borderId="56" xfId="0" applyFont="1" applyFill="1" applyBorder="1" applyAlignment="1">
      <alignment horizontal="left" vertical="center" wrapText="1"/>
    </xf>
    <xf numFmtId="0" fontId="31" fillId="6" borderId="58" xfId="0" applyFont="1" applyFill="1" applyBorder="1" applyAlignment="1">
      <alignment horizontal="left" vertical="center" wrapText="1"/>
    </xf>
    <xf numFmtId="0" fontId="31" fillId="6" borderId="34" xfId="0" applyFont="1" applyFill="1" applyBorder="1" applyAlignment="1">
      <alignment horizontal="left" vertical="center" wrapText="1"/>
    </xf>
    <xf numFmtId="0" fontId="31" fillId="6" borderId="0" xfId="0" applyFont="1" applyFill="1" applyBorder="1" applyAlignment="1">
      <alignment horizontal="left" vertical="center" wrapText="1"/>
    </xf>
    <xf numFmtId="0" fontId="31" fillId="6" borderId="70" xfId="0" applyFont="1" applyFill="1" applyBorder="1" applyAlignment="1">
      <alignment horizontal="left" vertical="center" wrapText="1"/>
    </xf>
    <xf numFmtId="0" fontId="31" fillId="6" borderId="54" xfId="0" applyFont="1" applyFill="1" applyBorder="1" applyAlignment="1">
      <alignment horizontal="left" vertical="center" wrapText="1"/>
    </xf>
    <xf numFmtId="0" fontId="31" fillId="6" borderId="53" xfId="0" applyFont="1" applyFill="1" applyBorder="1" applyAlignment="1">
      <alignment horizontal="left" vertical="center" wrapText="1"/>
    </xf>
    <xf numFmtId="0" fontId="31" fillId="6" borderId="72" xfId="0" applyFont="1" applyFill="1" applyBorder="1" applyAlignment="1">
      <alignment horizontal="left" vertical="center" wrapText="1"/>
    </xf>
    <xf numFmtId="0" fontId="31" fillId="6" borderId="67" xfId="0" applyFont="1" applyFill="1" applyBorder="1" applyAlignment="1">
      <alignment horizontal="left" vertical="center"/>
    </xf>
    <xf numFmtId="0" fontId="31" fillId="6" borderId="68" xfId="0" applyFont="1" applyFill="1" applyBorder="1" applyAlignment="1">
      <alignment horizontal="left" vertical="center"/>
    </xf>
    <xf numFmtId="164" fontId="32" fillId="6" borderId="3" xfId="0" applyNumberFormat="1" applyFont="1" applyFill="1" applyBorder="1" applyAlignment="1">
      <alignment horizontal="center" vertical="center"/>
    </xf>
    <xf numFmtId="0" fontId="31" fillId="6" borderId="4" xfId="0" applyFont="1" applyFill="1" applyBorder="1" applyAlignment="1">
      <alignment horizontal="center" vertical="center"/>
    </xf>
    <xf numFmtId="166" fontId="31" fillId="6" borderId="59" xfId="0" applyNumberFormat="1" applyFont="1" applyFill="1" applyBorder="1" applyAlignment="1">
      <alignment horizontal="center" vertical="center"/>
    </xf>
    <xf numFmtId="166" fontId="31" fillId="6" borderId="28" xfId="0" applyNumberFormat="1" applyFont="1" applyFill="1" applyBorder="1" applyAlignment="1">
      <alignment horizontal="center" vertical="center"/>
    </xf>
    <xf numFmtId="164" fontId="93" fillId="0" borderId="0" xfId="0" applyNumberFormat="1" applyFont="1" applyBorder="1" applyAlignment="1">
      <alignment horizontal="left" wrapText="1"/>
    </xf>
    <xf numFmtId="0" fontId="93" fillId="0" borderId="0" xfId="0" applyFont="1" applyBorder="1" applyAlignment="1">
      <alignment horizontal="left" wrapText="1"/>
    </xf>
    <xf numFmtId="0" fontId="31" fillId="2" borderId="34" xfId="0" applyFont="1" applyFill="1" applyBorder="1" applyAlignment="1">
      <alignment horizontal="left"/>
    </xf>
    <xf numFmtId="0" fontId="31" fillId="2" borderId="0" xfId="0" applyFont="1" applyFill="1" applyAlignment="1">
      <alignment horizontal="left"/>
    </xf>
    <xf numFmtId="0" fontId="91" fillId="2" borderId="34" xfId="0" applyFont="1" applyFill="1" applyBorder="1" applyAlignment="1">
      <alignment horizontal="left" vertical="center" wrapText="1"/>
    </xf>
    <xf numFmtId="0" fontId="91" fillId="2" borderId="0" xfId="0" applyFont="1" applyFill="1" applyBorder="1" applyAlignment="1">
      <alignment horizontal="left" vertical="center" wrapText="1"/>
    </xf>
    <xf numFmtId="0" fontId="79" fillId="2" borderId="0" xfId="0" applyFont="1" applyFill="1" applyAlignment="1" applyProtection="1">
      <alignment horizontal="center"/>
    </xf>
    <xf numFmtId="0" fontId="55" fillId="2" borderId="0" xfId="0" applyFont="1" applyFill="1" applyAlignment="1" applyProtection="1">
      <alignment horizontal="center"/>
    </xf>
    <xf numFmtId="0" fontId="58" fillId="8" borderId="18" xfId="2" applyFont="1" applyFill="1" applyBorder="1" applyAlignment="1">
      <alignment horizontal="center" vertical="center" wrapText="1"/>
    </xf>
    <xf numFmtId="0" fontId="58" fillId="8" borderId="61" xfId="2" applyFont="1" applyFill="1" applyBorder="1" applyAlignment="1">
      <alignment horizontal="center" vertical="center" wrapText="1"/>
    </xf>
    <xf numFmtId="0" fontId="58" fillId="8" borderId="57" xfId="2" applyFont="1" applyFill="1" applyBorder="1" applyAlignment="1">
      <alignment horizontal="center" vertical="center" wrapText="1"/>
    </xf>
    <xf numFmtId="0" fontId="58" fillId="0" borderId="61" xfId="2" applyFont="1" applyBorder="1" applyAlignment="1">
      <alignment horizontal="center" vertical="center" wrapText="1"/>
    </xf>
    <xf numFmtId="0" fontId="58" fillId="0" borderId="57" xfId="2" applyFont="1" applyBorder="1" applyAlignment="1">
      <alignment horizontal="center" vertical="center" wrapText="1"/>
    </xf>
    <xf numFmtId="0" fontId="58" fillId="0" borderId="18" xfId="2" applyFont="1" applyBorder="1" applyAlignment="1">
      <alignment horizontal="center" vertical="center" wrapText="1"/>
    </xf>
    <xf numFmtId="4" fontId="49" fillId="3" borderId="42" xfId="2" applyNumberFormat="1" applyFont="1" applyFill="1" applyBorder="1" applyAlignment="1">
      <alignment horizontal="center" wrapText="1"/>
    </xf>
    <xf numFmtId="4" fontId="49" fillId="3" borderId="16" xfId="2" applyNumberFormat="1" applyFont="1" applyFill="1" applyBorder="1" applyAlignment="1">
      <alignment horizontal="center" wrapText="1"/>
    </xf>
    <xf numFmtId="4" fontId="49" fillId="3" borderId="74" xfId="2" applyNumberFormat="1" applyFont="1" applyFill="1" applyBorder="1" applyAlignment="1">
      <alignment horizontal="center" wrapText="1"/>
    </xf>
    <xf numFmtId="0" fontId="23" fillId="0" borderId="4" xfId="2" applyFont="1" applyBorder="1" applyAlignment="1" applyProtection="1">
      <alignment horizontal="center" vertical="center"/>
      <protection locked="0"/>
    </xf>
    <xf numFmtId="0" fontId="57" fillId="0" borderId="69" xfId="2" applyFont="1" applyBorder="1" applyAlignment="1">
      <alignment horizontal="center" vertical="center" wrapText="1"/>
    </xf>
    <xf numFmtId="0" fontId="57" fillId="0" borderId="56" xfId="2" applyFont="1" applyBorder="1" applyAlignment="1">
      <alignment horizontal="center" vertical="center" wrapText="1"/>
    </xf>
    <xf numFmtId="0" fontId="57" fillId="0" borderId="58" xfId="2" applyFont="1" applyBorder="1" applyAlignment="1">
      <alignment horizontal="center" vertical="center" wrapText="1"/>
    </xf>
    <xf numFmtId="0" fontId="57" fillId="0" borderId="54" xfId="2" applyFont="1" applyBorder="1" applyAlignment="1">
      <alignment horizontal="center" vertical="center" wrapText="1"/>
    </xf>
    <xf numFmtId="0" fontId="57" fillId="0" borderId="53" xfId="2" applyFont="1" applyBorder="1" applyAlignment="1">
      <alignment horizontal="center" vertical="center" wrapText="1"/>
    </xf>
    <xf numFmtId="0" fontId="57" fillId="0" borderId="72" xfId="2" applyFont="1" applyBorder="1" applyAlignment="1">
      <alignment horizontal="center" vertical="center" wrapText="1"/>
    </xf>
    <xf numFmtId="0" fontId="58" fillId="3" borderId="61" xfId="2" applyFont="1" applyFill="1" applyBorder="1" applyAlignment="1">
      <alignment horizontal="center" vertical="center" wrapText="1"/>
    </xf>
    <xf numFmtId="0" fontId="58" fillId="3" borderId="57" xfId="2" applyFont="1" applyFill="1" applyBorder="1" applyAlignment="1">
      <alignment horizontal="center" vertical="center" wrapText="1"/>
    </xf>
    <xf numFmtId="0" fontId="45" fillId="0" borderId="0" xfId="2" applyFont="1" applyAlignment="1">
      <alignment horizontal="center" vertical="center" wrapText="1"/>
    </xf>
    <xf numFmtId="0" fontId="23" fillId="3" borderId="32" xfId="2" applyFont="1" applyFill="1" applyBorder="1" applyAlignment="1">
      <alignment horizontal="center" wrapText="1"/>
    </xf>
    <xf numFmtId="0" fontId="23" fillId="3" borderId="43" xfId="2" applyFont="1" applyFill="1" applyBorder="1" applyAlignment="1">
      <alignment horizontal="center" wrapText="1"/>
    </xf>
    <xf numFmtId="0" fontId="59" fillId="0" borderId="0" xfId="2" applyFont="1" applyAlignment="1">
      <alignment horizontal="center" vertical="center" wrapText="1"/>
    </xf>
    <xf numFmtId="0" fontId="23" fillId="12" borderId="32" xfId="2" applyFont="1" applyFill="1" applyBorder="1" applyAlignment="1">
      <alignment horizontal="center" wrapText="1"/>
    </xf>
    <xf numFmtId="0" fontId="23" fillId="12" borderId="43" xfId="2" applyFont="1" applyFill="1" applyBorder="1" applyAlignment="1">
      <alignment horizontal="center" wrapText="1"/>
    </xf>
    <xf numFmtId="0" fontId="22" fillId="4" borderId="14" xfId="2" applyFont="1" applyFill="1" applyBorder="1" applyAlignment="1">
      <alignment horizontal="center" vertical="center" wrapText="1"/>
    </xf>
    <xf numFmtId="0" fontId="60" fillId="0" borderId="0" xfId="2" applyFont="1" applyAlignment="1">
      <alignment horizontal="center" vertical="center" textRotation="90" wrapText="1"/>
    </xf>
    <xf numFmtId="4" fontId="49" fillId="3" borderId="49" xfId="2" applyNumberFormat="1" applyFont="1" applyFill="1" applyBorder="1" applyAlignment="1">
      <alignment horizontal="center" wrapText="1"/>
    </xf>
    <xf numFmtId="4" fontId="49" fillId="3" borderId="48" xfId="2" applyNumberFormat="1" applyFont="1" applyFill="1" applyBorder="1" applyAlignment="1">
      <alignment horizontal="center" wrapText="1"/>
    </xf>
    <xf numFmtId="4" fontId="49" fillId="3" borderId="60" xfId="2" applyNumberFormat="1" applyFont="1" applyFill="1" applyBorder="1" applyAlignment="1">
      <alignment horizontal="center" wrapText="1"/>
    </xf>
    <xf numFmtId="0" fontId="23" fillId="0" borderId="32" xfId="2" applyFont="1" applyBorder="1" applyAlignment="1">
      <alignment horizontal="center" vertical="center" wrapText="1"/>
    </xf>
    <xf numFmtId="0" fontId="23" fillId="0" borderId="45" xfId="2" applyFont="1" applyBorder="1" applyAlignment="1">
      <alignment horizontal="center" vertical="center" wrapText="1"/>
    </xf>
    <xf numFmtId="0" fontId="23" fillId="0" borderId="43" xfId="2" applyFont="1" applyBorder="1" applyAlignment="1">
      <alignment horizontal="center" vertical="center" wrapText="1"/>
    </xf>
    <xf numFmtId="0" fontId="23" fillId="6" borderId="32" xfId="2" applyFont="1" applyFill="1" applyBorder="1" applyAlignment="1">
      <alignment wrapText="1"/>
    </xf>
    <xf numFmtId="0" fontId="23" fillId="6" borderId="43" xfId="2" applyFont="1" applyFill="1" applyBorder="1" applyAlignment="1">
      <alignment wrapText="1"/>
    </xf>
    <xf numFmtId="0" fontId="23" fillId="15" borderId="32" xfId="2" applyFont="1" applyFill="1" applyBorder="1" applyAlignment="1">
      <alignment wrapText="1"/>
    </xf>
    <xf numFmtId="0" fontId="23" fillId="15" borderId="45" xfId="2" applyFont="1" applyFill="1" applyBorder="1" applyAlignment="1">
      <alignment wrapText="1"/>
    </xf>
    <xf numFmtId="0" fontId="23" fillId="15" borderId="43" xfId="2" applyFont="1" applyFill="1" applyBorder="1" applyAlignment="1">
      <alignment wrapText="1"/>
    </xf>
    <xf numFmtId="0" fontId="56" fillId="0" borderId="0" xfId="0" applyFont="1" applyAlignment="1">
      <alignment horizontal="center" vertical="center" wrapText="1"/>
    </xf>
    <xf numFmtId="0" fontId="65" fillId="0" borderId="0" xfId="0" applyFont="1" applyAlignment="1">
      <alignment horizontal="left" wrapText="1"/>
    </xf>
    <xf numFmtId="0" fontId="73" fillId="0" borderId="0" xfId="3" applyNumberFormat="1" applyFont="1"/>
    <xf numFmtId="0" fontId="23" fillId="0" borderId="4" xfId="4" applyFont="1" applyBorder="1" applyAlignment="1">
      <alignment horizontal="center"/>
    </xf>
    <xf numFmtId="173" fontId="23" fillId="0" borderId="4" xfId="0" applyNumberFormat="1" applyFont="1" applyBorder="1" applyAlignment="1">
      <alignment horizontal="center"/>
    </xf>
    <xf numFmtId="0" fontId="22" fillId="0" borderId="32" xfId="4" applyBorder="1"/>
    <xf numFmtId="0" fontId="0" fillId="0" borderId="43" xfId="0" applyBorder="1"/>
    <xf numFmtId="0" fontId="24" fillId="0" borderId="16" xfId="0" applyFont="1" applyBorder="1" applyAlignment="1">
      <alignment horizontal="center" wrapText="1"/>
    </xf>
    <xf numFmtId="0" fontId="0" fillId="0" borderId="46" xfId="0" applyBorder="1" applyAlignment="1" applyProtection="1">
      <alignment horizontal="center"/>
    </xf>
    <xf numFmtId="0" fontId="0" fillId="0" borderId="2" xfId="0" applyBorder="1" applyAlignment="1" applyProtection="1">
      <alignment horizontal="center"/>
    </xf>
    <xf numFmtId="0" fontId="0" fillId="0" borderId="3" xfId="0" applyBorder="1" applyAlignment="1" applyProtection="1">
      <alignment horizontal="center"/>
    </xf>
    <xf numFmtId="0" fontId="0" fillId="0" borderId="38" xfId="0" applyBorder="1" applyAlignment="1" applyProtection="1">
      <alignment horizontal="center" vertical="center" wrapText="1"/>
    </xf>
    <xf numFmtId="0" fontId="0" fillId="0" borderId="23" xfId="0" applyBorder="1" applyAlignment="1" applyProtection="1">
      <alignment horizontal="center" vertical="center" wrapText="1"/>
    </xf>
    <xf numFmtId="0" fontId="0" fillId="0" borderId="41" xfId="0"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24" xfId="0" applyBorder="1" applyAlignment="1" applyProtection="1">
      <alignment horizontal="center" vertical="center" wrapText="1"/>
    </xf>
    <xf numFmtId="0" fontId="0" fillId="0" borderId="25" xfId="0" applyBorder="1" applyAlignment="1" applyProtection="1">
      <alignment horizontal="center" vertical="center" wrapText="1"/>
    </xf>
    <xf numFmtId="2" fontId="0" fillId="0" borderId="23" xfId="0" applyNumberFormat="1" applyBorder="1" applyAlignment="1" applyProtection="1">
      <alignment horizontal="center" vertical="center"/>
    </xf>
    <xf numFmtId="2" fontId="0" fillId="0" borderId="24" xfId="0" applyNumberFormat="1" applyBorder="1" applyAlignment="1" applyProtection="1">
      <alignment horizontal="center" vertical="center"/>
    </xf>
    <xf numFmtId="0" fontId="0" fillId="0" borderId="46" xfId="0" applyBorder="1" applyAlignment="1" applyProtection="1">
      <alignment horizontal="left" vertical="center"/>
    </xf>
    <xf numFmtId="0" fontId="0" fillId="0" borderId="2" xfId="0" applyBorder="1" applyAlignment="1" applyProtection="1">
      <alignment horizontal="left" vertical="center"/>
    </xf>
    <xf numFmtId="0" fontId="0" fillId="0" borderId="46" xfId="0" applyBorder="1" applyAlignment="1" applyProtection="1">
      <alignment horizontal="center" vertical="center" wrapText="1"/>
    </xf>
    <xf numFmtId="0" fontId="0" fillId="0" borderId="2" xfId="0" applyBorder="1" applyAlignment="1" applyProtection="1">
      <alignment horizontal="center" vertical="center" wrapText="1"/>
    </xf>
    <xf numFmtId="0" fontId="0" fillId="0" borderId="23" xfId="0" applyBorder="1" applyAlignment="1" applyProtection="1">
      <alignment horizontal="center" vertical="center"/>
    </xf>
    <xf numFmtId="0" fontId="0" fillId="0" borderId="24" xfId="0" applyBorder="1" applyAlignment="1" applyProtection="1">
      <alignment horizontal="center" vertical="center"/>
    </xf>
    <xf numFmtId="0" fontId="0" fillId="0" borderId="4" xfId="0" applyBorder="1" applyAlignment="1" applyProtection="1">
      <alignment horizontal="center" vertical="center"/>
    </xf>
    <xf numFmtId="0" fontId="0" fillId="0" borderId="25" xfId="0" applyBorder="1" applyAlignment="1" applyProtection="1">
      <alignment horizontal="center" vertical="center"/>
    </xf>
    <xf numFmtId="0" fontId="0" fillId="0" borderId="51" xfId="0" applyBorder="1" applyAlignment="1" applyProtection="1">
      <alignment horizontal="center" vertical="center"/>
    </xf>
    <xf numFmtId="0" fontId="0" fillId="0" borderId="47" xfId="0" applyBorder="1" applyAlignment="1" applyProtection="1">
      <alignment horizontal="center" vertical="center"/>
    </xf>
    <xf numFmtId="0" fontId="0" fillId="0" borderId="60" xfId="0" applyBorder="1" applyAlignment="1" applyProtection="1">
      <alignment horizontal="center" vertical="center"/>
    </xf>
    <xf numFmtId="0" fontId="0" fillId="0" borderId="38" xfId="0" applyBorder="1" applyAlignment="1" applyProtection="1">
      <alignment horizontal="left" vertical="center"/>
    </xf>
    <xf numFmtId="0" fontId="0" fillId="0" borderId="23" xfId="0" applyBorder="1" applyAlignment="1" applyProtection="1">
      <alignment horizontal="left" vertical="center"/>
    </xf>
    <xf numFmtId="0" fontId="0" fillId="0" borderId="41" xfId="0" applyBorder="1" applyAlignment="1" applyProtection="1">
      <alignment horizontal="left" vertical="center"/>
    </xf>
    <xf numFmtId="0" fontId="0" fillId="0" borderId="4" xfId="0" applyBorder="1" applyAlignment="1" applyProtection="1">
      <alignment horizontal="left" vertical="center"/>
    </xf>
    <xf numFmtId="2" fontId="0" fillId="0" borderId="51" xfId="0" applyNumberFormat="1" applyBorder="1" applyAlignment="1">
      <alignment horizontal="center" wrapText="1"/>
    </xf>
    <xf numFmtId="2" fontId="0" fillId="0" borderId="60" xfId="0" applyNumberFormat="1" applyBorder="1" applyAlignment="1">
      <alignment horizontal="center" wrapText="1"/>
    </xf>
    <xf numFmtId="2" fontId="0" fillId="0" borderId="10" xfId="0" applyNumberFormat="1" applyBorder="1" applyAlignment="1">
      <alignment horizontal="center" wrapText="1"/>
    </xf>
    <xf numFmtId="2" fontId="0" fillId="0" borderId="75" xfId="0" applyNumberFormat="1" applyBorder="1" applyAlignment="1">
      <alignment horizontal="center" wrapText="1"/>
    </xf>
    <xf numFmtId="0" fontId="0" fillId="0" borderId="41" xfId="0" applyBorder="1" applyAlignment="1" applyProtection="1">
      <alignment horizontal="center" wrapText="1"/>
    </xf>
    <xf numFmtId="0" fontId="0" fillId="0" borderId="4" xfId="0" applyBorder="1" applyAlignment="1" applyProtection="1">
      <alignment horizontal="center" wrapText="1"/>
    </xf>
    <xf numFmtId="2" fontId="0" fillId="0" borderId="4" xfId="0" applyNumberFormat="1" applyBorder="1" applyAlignment="1">
      <alignment horizontal="center" wrapText="1"/>
    </xf>
    <xf numFmtId="2" fontId="0" fillId="0" borderId="4" xfId="0" applyNumberFormat="1" applyBorder="1" applyAlignment="1" applyProtection="1">
      <alignment horizontal="center" wrapText="1"/>
    </xf>
    <xf numFmtId="2" fontId="0" fillId="0" borderId="23" xfId="0" applyNumberFormat="1" applyBorder="1" applyAlignment="1" applyProtection="1">
      <alignment horizontal="center"/>
    </xf>
    <xf numFmtId="2" fontId="0" fillId="0" borderId="24" xfId="0" applyNumberFormat="1" applyBorder="1" applyAlignment="1" applyProtection="1">
      <alignment horizontal="center"/>
    </xf>
    <xf numFmtId="0" fontId="0" fillId="0" borderId="46" xfId="0" applyBorder="1" applyAlignment="1" applyProtection="1">
      <alignment horizontal="center" wrapText="1"/>
    </xf>
    <xf numFmtId="0" fontId="0" fillId="0" borderId="2" xfId="0" applyBorder="1" applyAlignment="1" applyProtection="1">
      <alignment horizontal="center" wrapText="1"/>
    </xf>
    <xf numFmtId="2" fontId="0" fillId="0" borderId="2" xfId="0" applyNumberFormat="1" applyBorder="1" applyAlignment="1">
      <alignment horizontal="center" wrapText="1"/>
    </xf>
    <xf numFmtId="2" fontId="0" fillId="0" borderId="2" xfId="0" applyNumberFormat="1" applyBorder="1" applyAlignment="1" applyProtection="1">
      <alignment horizontal="center" wrapText="1"/>
    </xf>
    <xf numFmtId="2" fontId="0" fillId="0" borderId="19" xfId="0" applyNumberFormat="1" applyBorder="1" applyAlignment="1">
      <alignment horizontal="center" wrapText="1"/>
    </xf>
    <xf numFmtId="2" fontId="0" fillId="0" borderId="7" xfId="0" applyNumberFormat="1" applyBorder="1" applyAlignment="1" applyProtection="1">
      <alignment horizontal="center" wrapText="1"/>
    </xf>
    <xf numFmtId="0" fontId="0" fillId="0" borderId="7" xfId="0" applyBorder="1" applyAlignment="1" applyProtection="1">
      <alignment horizontal="center" vertical="center" wrapText="1"/>
    </xf>
    <xf numFmtId="0" fontId="0" fillId="0" borderId="22" xfId="0" applyBorder="1" applyAlignment="1" applyProtection="1">
      <alignment horizontal="center" vertical="center" wrapText="1"/>
    </xf>
    <xf numFmtId="0" fontId="0" fillId="0" borderId="41" xfId="0" applyBorder="1" applyAlignment="1" applyProtection="1">
      <alignment horizontal="center"/>
    </xf>
    <xf numFmtId="0" fontId="0" fillId="0" borderId="4" xfId="0" applyBorder="1" applyAlignment="1" applyProtection="1">
      <alignment horizontal="center"/>
    </xf>
    <xf numFmtId="0" fontId="0" fillId="0" borderId="30" xfId="0" applyBorder="1" applyAlignment="1" applyProtection="1">
      <alignment horizontal="center" vertical="center" wrapText="1"/>
    </xf>
    <xf numFmtId="2" fontId="0" fillId="0" borderId="9" xfId="0" applyNumberFormat="1" applyBorder="1" applyAlignment="1" applyProtection="1">
      <alignment horizontal="center" wrapText="1"/>
    </xf>
    <xf numFmtId="0" fontId="0" fillId="0" borderId="38" xfId="0" applyBorder="1" applyAlignment="1" applyProtection="1">
      <alignment horizontal="center"/>
    </xf>
    <xf numFmtId="0" fontId="0" fillId="0" borderId="23" xfId="0" applyBorder="1" applyAlignment="1" applyProtection="1">
      <alignment horizontal="center"/>
    </xf>
    <xf numFmtId="2" fontId="0" fillId="0" borderId="23" xfId="0" applyNumberFormat="1" applyBorder="1" applyAlignment="1">
      <alignment horizontal="center" wrapText="1"/>
    </xf>
    <xf numFmtId="2" fontId="0" fillId="0" borderId="23" xfId="0" applyNumberFormat="1" applyBorder="1" applyAlignment="1" applyProtection="1">
      <alignment horizontal="center" wrapText="1"/>
    </xf>
    <xf numFmtId="2" fontId="0" fillId="0" borderId="19" xfId="0" applyNumberFormat="1" applyBorder="1" applyAlignment="1" applyProtection="1">
      <alignment horizontal="center" wrapText="1"/>
    </xf>
    <xf numFmtId="2" fontId="0" fillId="0" borderId="5" xfId="0" applyNumberFormat="1" applyBorder="1" applyAlignment="1">
      <alignment horizontal="center" wrapText="1"/>
    </xf>
    <xf numFmtId="2" fontId="0" fillId="0" borderId="57" xfId="0" applyNumberFormat="1" applyBorder="1" applyAlignment="1">
      <alignment horizontal="center" wrapText="1"/>
    </xf>
    <xf numFmtId="0" fontId="0" fillId="0" borderId="38" xfId="0" applyBorder="1" applyAlignment="1" applyProtection="1">
      <alignment horizontal="center" wrapText="1"/>
    </xf>
    <xf numFmtId="0" fontId="0" fillId="0" borderId="23" xfId="0" applyBorder="1" applyAlignment="1" applyProtection="1">
      <alignment horizontal="center" wrapText="1"/>
    </xf>
    <xf numFmtId="0" fontId="0" fillId="0" borderId="3" xfId="0" applyBorder="1" applyAlignment="1" applyProtection="1">
      <alignment horizontal="center" vertical="center" wrapText="1"/>
    </xf>
    <xf numFmtId="0" fontId="0" fillId="0" borderId="30" xfId="0" applyBorder="1" applyAlignment="1" applyProtection="1">
      <alignment horizontal="center"/>
    </xf>
    <xf numFmtId="0" fontId="0" fillId="0" borderId="7" xfId="0" applyBorder="1" applyAlignment="1" applyProtection="1">
      <alignment horizontal="center"/>
    </xf>
    <xf numFmtId="0" fontId="0" fillId="0" borderId="29" xfId="0" applyBorder="1" applyAlignment="1" applyProtection="1">
      <alignment horizontal="center"/>
    </xf>
    <xf numFmtId="0" fontId="0" fillId="0" borderId="19" xfId="0" applyBorder="1" applyAlignment="1" applyProtection="1">
      <alignment horizontal="center"/>
    </xf>
    <xf numFmtId="0" fontId="0" fillId="0" borderId="20" xfId="0" applyBorder="1" applyAlignment="1" applyProtection="1">
      <alignment horizontal="center"/>
    </xf>
    <xf numFmtId="0" fontId="0" fillId="0" borderId="9" xfId="0" applyBorder="1" applyAlignment="1" applyProtection="1">
      <alignment horizontal="center"/>
    </xf>
    <xf numFmtId="0" fontId="0" fillId="0" borderId="0" xfId="0" applyProtection="1">
      <protection hidden="1"/>
    </xf>
    <xf numFmtId="0" fontId="23" fillId="0" borderId="0" xfId="0" applyFont="1" applyProtection="1">
      <protection hidden="1"/>
    </xf>
    <xf numFmtId="0" fontId="0" fillId="0" borderId="0" xfId="0" applyFill="1" applyProtection="1">
      <protection hidden="1"/>
    </xf>
    <xf numFmtId="0" fontId="22" fillId="0" borderId="0" xfId="2" applyFont="1" applyFill="1" applyBorder="1" applyAlignment="1" applyProtection="1">
      <alignment wrapText="1"/>
      <protection hidden="1"/>
    </xf>
    <xf numFmtId="0" fontId="0" fillId="7" borderId="0" xfId="0" applyFill="1" applyBorder="1" applyProtection="1">
      <protection hidden="1"/>
    </xf>
    <xf numFmtId="0" fontId="0" fillId="0" borderId="0" xfId="0" applyAlignment="1" applyProtection="1">
      <alignment horizontal="left"/>
      <protection hidden="1"/>
    </xf>
    <xf numFmtId="0" fontId="55" fillId="0" borderId="0" xfId="0" applyFont="1" applyAlignment="1" applyProtection="1">
      <alignment wrapText="1"/>
      <protection hidden="1"/>
    </xf>
    <xf numFmtId="0" fontId="54" fillId="0" borderId="0" xfId="0" applyFont="1" applyAlignment="1" applyProtection="1">
      <alignment horizontal="left" vertical="center" wrapText="1"/>
      <protection hidden="1"/>
    </xf>
    <xf numFmtId="0" fontId="13" fillId="7" borderId="0" xfId="0" applyFont="1" applyFill="1" applyBorder="1" applyAlignment="1" applyProtection="1">
      <alignment wrapText="1"/>
      <protection hidden="1"/>
    </xf>
    <xf numFmtId="0" fontId="55" fillId="0" borderId="0" xfId="0" applyFont="1" applyAlignment="1" applyProtection="1">
      <alignment horizontal="left" vertical="center" wrapText="1"/>
      <protection hidden="1"/>
    </xf>
    <xf numFmtId="14" fontId="0" fillId="0" borderId="0" xfId="0" applyNumberFormat="1" applyProtection="1">
      <protection hidden="1"/>
    </xf>
    <xf numFmtId="0" fontId="22" fillId="0" borderId="0" xfId="2" applyFont="1" applyAlignment="1" applyProtection="1">
      <alignment wrapText="1"/>
      <protection hidden="1"/>
    </xf>
    <xf numFmtId="0" fontId="23" fillId="0" borderId="4" xfId="0" applyFont="1" applyBorder="1" applyAlignment="1" applyProtection="1">
      <alignment wrapText="1"/>
      <protection hidden="1"/>
    </xf>
    <xf numFmtId="0" fontId="0" fillId="0" borderId="0" xfId="0" applyAlignment="1" applyProtection="1">
      <alignment wrapText="1"/>
      <protection hidden="1"/>
    </xf>
    <xf numFmtId="0" fontId="0" fillId="0" borderId="4" xfId="0" applyBorder="1" applyAlignment="1" applyProtection="1">
      <alignment wrapText="1"/>
      <protection hidden="1"/>
    </xf>
    <xf numFmtId="0" fontId="55" fillId="0" borderId="41" xfId="0" applyFont="1" applyBorder="1" applyProtection="1">
      <protection hidden="1"/>
    </xf>
    <xf numFmtId="0" fontId="23" fillId="0" borderId="0" xfId="2" applyFont="1" applyAlignment="1" applyProtection="1">
      <alignment wrapText="1"/>
      <protection hidden="1"/>
    </xf>
    <xf numFmtId="0" fontId="0" fillId="0" borderId="0" xfId="0" applyFont="1" applyAlignment="1" applyProtection="1">
      <alignment wrapText="1"/>
      <protection hidden="1"/>
    </xf>
    <xf numFmtId="0" fontId="0" fillId="11" borderId="0" xfId="0" applyFill="1" applyProtection="1">
      <protection hidden="1"/>
    </xf>
    <xf numFmtId="0" fontId="0" fillId="4" borderId="4" xfId="0" applyFill="1" applyBorder="1" applyProtection="1">
      <protection locked="0" hidden="1"/>
    </xf>
    <xf numFmtId="0" fontId="0" fillId="4" borderId="0" xfId="0" applyFill="1" applyProtection="1">
      <protection locked="0" hidden="1"/>
    </xf>
    <xf numFmtId="0" fontId="62" fillId="21" borderId="0" xfId="0" applyFont="1" applyFill="1" applyProtection="1">
      <protection locked="0" hidden="1"/>
    </xf>
    <xf numFmtId="0" fontId="22" fillId="4" borderId="4" xfId="4" applyFill="1" applyBorder="1" applyAlignment="1" applyProtection="1">
      <alignment horizontal="left" wrapText="1"/>
      <protection locked="0" hidden="1"/>
    </xf>
  </cellXfs>
  <cellStyles count="8">
    <cellStyle name="Čárka" xfId="1" builtinId="3"/>
    <cellStyle name="Normální" xfId="0" builtinId="0"/>
    <cellStyle name="normální 10 2" xfId="2" xr:uid="{00000000-0005-0000-0000-000002000000}"/>
    <cellStyle name="normální 10 2 2" xfId="7" xr:uid="{AC873DE1-A564-4FA3-8318-BDB040333CAE}"/>
    <cellStyle name="normální 2" xfId="3" xr:uid="{00000000-0005-0000-0000-000003000000}"/>
    <cellStyle name="Normální 3" xfId="6" xr:uid="{C7E13067-21A4-4732-9F93-DF3E0745AA15}"/>
    <cellStyle name="normální 4 2" xfId="4" xr:uid="{00000000-0005-0000-0000-000004000000}"/>
    <cellStyle name="Procenta" xfId="5" builtinId="5"/>
  </cellStyles>
  <dxfs count="16">
    <dxf>
      <font>
        <color rgb="FF9C0006"/>
      </font>
      <fill>
        <patternFill>
          <bgColor rgb="FFFFC7CE"/>
        </patternFill>
      </fill>
    </dxf>
    <dxf>
      <font>
        <color auto="1"/>
      </font>
      <fill>
        <patternFill>
          <bgColor theme="2"/>
        </patternFill>
      </fill>
    </dxf>
    <dxf>
      <font>
        <color auto="1"/>
      </font>
      <fill>
        <patternFill>
          <bgColor theme="2"/>
        </patternFill>
      </fill>
    </dxf>
    <dxf>
      <font>
        <color auto="1"/>
      </font>
      <fill>
        <patternFill>
          <bgColor theme="2"/>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ndense val="0"/>
        <extend val="0"/>
        <color rgb="FF9C0006"/>
      </font>
      <fill>
        <patternFill>
          <bgColor rgb="FFFFC7CE"/>
        </patternFill>
      </fill>
    </dxf>
    <dxf>
      <font>
        <color auto="1"/>
      </font>
      <fill>
        <patternFill>
          <bgColor theme="2"/>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ovládací prvky'!$C$28"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Drop" dropLines="2" dropStyle="combo" dx="26" fmlaLink="'ovládací prvky'!$E$2" fmlaRange="'ovládací prvky'!$C$2:$C$3" sel="2" val="0"/>
</file>

<file path=xl/ctrlProps/ctrlProp5.xml><?xml version="1.0" encoding="utf-8"?>
<formControlPr xmlns="http://schemas.microsoft.com/office/spreadsheetml/2009/9/main" objectType="Drop" dropLines="12" dropStyle="combo" dx="26" fmlaLink="'ovládací prvky'!$F$13" fmlaRange="'ovládací prvky'!$C$14:$C$25" sel="1" val="0"/>
</file>

<file path=xl/ctrlProps/ctrlProp6.xml><?xml version="1.0" encoding="utf-8"?>
<formControlPr xmlns="http://schemas.microsoft.com/office/spreadsheetml/2009/9/main" objectType="Drop" dropLines="2" dropStyle="combo" dx="26" fmlaLink="'ovládací prvky'!$J$2" fmlaRange="'ovládací prvky'!$L$2:$L$3" sel="1" val="0"/>
</file>

<file path=xl/ctrlProps/ctrlProp7.xml><?xml version="1.0" encoding="utf-8"?>
<formControlPr xmlns="http://schemas.microsoft.com/office/spreadsheetml/2009/9/main" objectType="Drop" dropLines="5" dropStyle="combo" dx="26" fmlaLink="'ovládací prvky'!$K$13" fmlaRange="'ovládací prvky'!$J$14:$J$18" sel="1" val="0"/>
</file>

<file path=xl/ctrlProps/ctrlProp8.xml><?xml version="1.0" encoding="utf-8"?>
<formControlPr xmlns="http://schemas.microsoft.com/office/spreadsheetml/2009/9/main" objectType="Drop" dropLines="2" dropStyle="combo" dx="26" fmlaLink="'ovládací prvky'!$H$2" fmlaRange="'ovládací prvky'!$G$3:$G$4" sel="2" val="0"/>
</file>

<file path=xl/ctrlProps/ctrlProp9.xml><?xml version="1.0" encoding="utf-8"?>
<formControlPr xmlns="http://schemas.microsoft.com/office/spreadsheetml/2009/9/main" objectType="Drop" dropLines="5" dropStyle="combo" dx="26" fmlaLink="'ovládací prvky'!$C$6" fmlaRange="'ovládací prvky'!$B$7:$B$11" sel="1" val="0"/>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cid:image002.png@01D8085C.1574F6F0" TargetMode="External"/><Relationship Id="rId1" Type="http://schemas.openxmlformats.org/officeDocument/2006/relationships/image" Target="../media/image2.png"/><Relationship Id="rId6" Type="http://schemas.openxmlformats.org/officeDocument/2006/relationships/image" Target="cid:image004.png@01D8085C.1574F6F0" TargetMode="External"/><Relationship Id="rId5" Type="http://schemas.openxmlformats.org/officeDocument/2006/relationships/image" Target="../media/image4.png"/><Relationship Id="rId4" Type="http://schemas.openxmlformats.org/officeDocument/2006/relationships/image" Target="cid:image003.png@01D8085C.1574F6F0"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678180</xdr:colOff>
          <xdr:row>50</xdr:row>
          <xdr:rowOff>45720</xdr:rowOff>
        </xdr:from>
        <xdr:to>
          <xdr:col>6</xdr:col>
          <xdr:colOff>22860</xdr:colOff>
          <xdr:row>53</xdr:row>
          <xdr:rowOff>137160</xdr:rowOff>
        </xdr:to>
        <xdr:sp macro="" textlink="">
          <xdr:nvSpPr>
            <xdr:cNvPr id="6175" name="Group Box 31" hidden="1">
              <a:extLst>
                <a:ext uri="{63B3BB69-23CF-44E3-9099-C40C66FF867C}">
                  <a14:compatExt spid="_x0000_s6175"/>
                </a:ext>
                <a:ext uri="{FF2B5EF4-FFF2-40B4-BE49-F238E27FC236}">
                  <a16:creationId xmlns:a16="http://schemas.microsoft.com/office/drawing/2014/main" id="{00000000-0008-0000-0000-00001F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251460</xdr:colOff>
          <xdr:row>50</xdr:row>
          <xdr:rowOff>99060</xdr:rowOff>
        </xdr:from>
        <xdr:to>
          <xdr:col>5</xdr:col>
          <xdr:colOff>563880</xdr:colOff>
          <xdr:row>51</xdr:row>
          <xdr:rowOff>160020</xdr:rowOff>
        </xdr:to>
        <xdr:sp macro="" textlink="">
          <xdr:nvSpPr>
            <xdr:cNvPr id="6179" name="Option Button 35" hidden="1">
              <a:extLst>
                <a:ext uri="{63B3BB69-23CF-44E3-9099-C40C66FF867C}">
                  <a14:compatExt spid="_x0000_s6179"/>
                </a:ext>
                <a:ext uri="{FF2B5EF4-FFF2-40B4-BE49-F238E27FC236}">
                  <a16:creationId xmlns:a16="http://schemas.microsoft.com/office/drawing/2014/main" id="{00000000-0008-0000-00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cs-CZ" sz="800" b="0" i="0" u="none" strike="noStrike" baseline="0">
                  <a:solidFill>
                    <a:srgbClr val="000000"/>
                  </a:solidFill>
                  <a:latin typeface="Tahoma"/>
                  <a:ea typeface="Tahoma"/>
                  <a:cs typeface="Tahoma"/>
                </a:rPr>
                <a:t>ANO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236220</xdr:colOff>
          <xdr:row>51</xdr:row>
          <xdr:rowOff>152400</xdr:rowOff>
        </xdr:from>
        <xdr:to>
          <xdr:col>5</xdr:col>
          <xdr:colOff>571500</xdr:colOff>
          <xdr:row>53</xdr:row>
          <xdr:rowOff>22860</xdr:rowOff>
        </xdr:to>
        <xdr:sp macro="" textlink="">
          <xdr:nvSpPr>
            <xdr:cNvPr id="6180" name="Option Button 36" hidden="1">
              <a:extLst>
                <a:ext uri="{63B3BB69-23CF-44E3-9099-C40C66FF867C}">
                  <a14:compatExt spid="_x0000_s6180"/>
                </a:ext>
                <a:ext uri="{FF2B5EF4-FFF2-40B4-BE49-F238E27FC236}">
                  <a16:creationId xmlns:a16="http://schemas.microsoft.com/office/drawing/2014/main" id="{00000000-0008-0000-00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cs-CZ" sz="800" b="0" i="0" u="none" strike="noStrike" baseline="0">
                  <a:solidFill>
                    <a:srgbClr val="000000"/>
                  </a:solidFill>
                  <a:latin typeface="Tahoma"/>
                  <a:ea typeface="Tahoma"/>
                  <a:cs typeface="Tahoma"/>
                </a:rPr>
                <a:t>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xdr:row>
          <xdr:rowOff>236220</xdr:rowOff>
        </xdr:from>
        <xdr:to>
          <xdr:col>7</xdr:col>
          <xdr:colOff>571500</xdr:colOff>
          <xdr:row>3</xdr:row>
          <xdr:rowOff>7620</xdr:rowOff>
        </xdr:to>
        <xdr:sp macro="" textlink="">
          <xdr:nvSpPr>
            <xdr:cNvPr id="6183" name="Nadlimit_tlac2" hidden="1">
              <a:extLst>
                <a:ext uri="{63B3BB69-23CF-44E3-9099-C40C66FF867C}">
                  <a14:compatExt spid="_x0000_s6183"/>
                </a:ext>
                <a:ext uri="{FF2B5EF4-FFF2-40B4-BE49-F238E27FC236}">
                  <a16:creationId xmlns:a16="http://schemas.microsoft.com/office/drawing/2014/main" id="{00000000-0008-0000-0000-00002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xdr:row>
          <xdr:rowOff>22860</xdr:rowOff>
        </xdr:from>
        <xdr:to>
          <xdr:col>1</xdr:col>
          <xdr:colOff>1013460</xdr:colOff>
          <xdr:row>3</xdr:row>
          <xdr:rowOff>30480</xdr:rowOff>
        </xdr:to>
        <xdr:sp macro="" textlink="">
          <xdr:nvSpPr>
            <xdr:cNvPr id="6186" name="Drop Down 42" hidden="1">
              <a:extLst>
                <a:ext uri="{63B3BB69-23CF-44E3-9099-C40C66FF867C}">
                  <a14:compatExt spid="_x0000_s6186"/>
                </a:ext>
                <a:ext uri="{FF2B5EF4-FFF2-40B4-BE49-F238E27FC236}">
                  <a16:creationId xmlns:a16="http://schemas.microsoft.com/office/drawing/2014/main" id="{00000000-0008-0000-0000-00002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xdr:row>
          <xdr:rowOff>160020</xdr:rowOff>
        </xdr:from>
        <xdr:to>
          <xdr:col>1</xdr:col>
          <xdr:colOff>1013460</xdr:colOff>
          <xdr:row>5</xdr:row>
          <xdr:rowOff>0</xdr:rowOff>
        </xdr:to>
        <xdr:sp macro="" textlink="">
          <xdr:nvSpPr>
            <xdr:cNvPr id="6187" name="Drop Down 43" hidden="1">
              <a:extLst>
                <a:ext uri="{63B3BB69-23CF-44E3-9099-C40C66FF867C}">
                  <a14:compatExt spid="_x0000_s6187"/>
                </a:ext>
                <a:ext uri="{FF2B5EF4-FFF2-40B4-BE49-F238E27FC236}">
                  <a16:creationId xmlns:a16="http://schemas.microsoft.com/office/drawing/2014/main" id="{00000000-0008-0000-0000-00002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4</xdr:row>
          <xdr:rowOff>182880</xdr:rowOff>
        </xdr:from>
        <xdr:to>
          <xdr:col>7</xdr:col>
          <xdr:colOff>563880</xdr:colOff>
          <xdr:row>6</xdr:row>
          <xdr:rowOff>0</xdr:rowOff>
        </xdr:to>
        <xdr:sp macro="" textlink="">
          <xdr:nvSpPr>
            <xdr:cNvPr id="6190" name="souc_spot_tlac3" hidden="1">
              <a:extLst>
                <a:ext uri="{63B3BB69-23CF-44E3-9099-C40C66FF867C}">
                  <a14:compatExt spid="_x0000_s6190"/>
                </a:ext>
                <a:ext uri="{FF2B5EF4-FFF2-40B4-BE49-F238E27FC236}">
                  <a16:creationId xmlns:a16="http://schemas.microsoft.com/office/drawing/2014/main" id="{00000000-0008-0000-0000-00002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6</xdr:row>
          <xdr:rowOff>22860</xdr:rowOff>
        </xdr:from>
        <xdr:to>
          <xdr:col>1</xdr:col>
          <xdr:colOff>1013460</xdr:colOff>
          <xdr:row>6</xdr:row>
          <xdr:rowOff>220980</xdr:rowOff>
        </xdr:to>
        <xdr:sp macro="" textlink="">
          <xdr:nvSpPr>
            <xdr:cNvPr id="6207" name="Drop Down 63" hidden="1">
              <a:extLst>
                <a:ext uri="{63B3BB69-23CF-44E3-9099-C40C66FF867C}">
                  <a14:compatExt spid="_x0000_s6207"/>
                </a:ext>
                <a:ext uri="{FF2B5EF4-FFF2-40B4-BE49-F238E27FC236}">
                  <a16:creationId xmlns:a16="http://schemas.microsoft.com/office/drawing/2014/main" id="{00000000-0008-0000-0000-00003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7</xdr:row>
          <xdr:rowOff>30480</xdr:rowOff>
        </xdr:from>
        <xdr:to>
          <xdr:col>1</xdr:col>
          <xdr:colOff>2057400</xdr:colOff>
          <xdr:row>7</xdr:row>
          <xdr:rowOff>236220</xdr:rowOff>
        </xdr:to>
        <xdr:sp macro="" textlink="">
          <xdr:nvSpPr>
            <xdr:cNvPr id="6211" name="souc_spot_tlac3" hidden="1">
              <a:extLst>
                <a:ext uri="{63B3BB69-23CF-44E3-9099-C40C66FF867C}">
                  <a14:compatExt spid="_x0000_s6211"/>
                </a:ext>
                <a:ext uri="{FF2B5EF4-FFF2-40B4-BE49-F238E27FC236}">
                  <a16:creationId xmlns:a16="http://schemas.microsoft.com/office/drawing/2014/main" id="{00000000-0008-0000-0000-00004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12</xdr:col>
      <xdr:colOff>119743</xdr:colOff>
      <xdr:row>8</xdr:row>
      <xdr:rowOff>65315</xdr:rowOff>
    </xdr:from>
    <xdr:to>
      <xdr:col>13</xdr:col>
      <xdr:colOff>3317261</xdr:colOff>
      <xdr:row>10</xdr:row>
      <xdr:rowOff>277669</xdr:rowOff>
    </xdr:to>
    <xdr:pic>
      <xdr:nvPicPr>
        <xdr:cNvPr id="3" name="Obráze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3106400" y="3363686"/>
          <a:ext cx="4427604" cy="9525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3556508</xdr:colOff>
      <xdr:row>11</xdr:row>
      <xdr:rowOff>38100</xdr:rowOff>
    </xdr:from>
    <xdr:to>
      <xdr:col>0</xdr:col>
      <xdr:colOff>11361420</xdr:colOff>
      <xdr:row>38</xdr:row>
      <xdr:rowOff>38100</xdr:rowOff>
    </xdr:to>
    <xdr:pic>
      <xdr:nvPicPr>
        <xdr:cNvPr id="2" name="Obrázek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556508" y="2811780"/>
          <a:ext cx="7804912" cy="530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495300</xdr:colOff>
      <xdr:row>42</xdr:row>
      <xdr:rowOff>68580</xdr:rowOff>
    </xdr:from>
    <xdr:to>
      <xdr:col>0</xdr:col>
      <xdr:colOff>8244840</xdr:colOff>
      <xdr:row>69</xdr:row>
      <xdr:rowOff>22860</xdr:rowOff>
    </xdr:to>
    <xdr:pic>
      <xdr:nvPicPr>
        <xdr:cNvPr id="3" name="Obrázek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495300" y="8999220"/>
          <a:ext cx="7749540" cy="498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8945880</xdr:colOff>
      <xdr:row>43</xdr:row>
      <xdr:rowOff>91440</xdr:rowOff>
    </xdr:from>
    <xdr:to>
      <xdr:col>9</xdr:col>
      <xdr:colOff>495300</xdr:colOff>
      <xdr:row>74</xdr:row>
      <xdr:rowOff>0</xdr:rowOff>
    </xdr:to>
    <xdr:pic>
      <xdr:nvPicPr>
        <xdr:cNvPr id="4" name="Obráze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8945880" y="9204960"/>
          <a:ext cx="8046720" cy="566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5.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tabColor rgb="FF92D050"/>
    <pageSetUpPr fitToPage="1"/>
  </sheetPr>
  <dimension ref="A1:Q65"/>
  <sheetViews>
    <sheetView tabSelected="1" zoomScale="90" zoomScaleNormal="90" workbookViewId="0">
      <pane ySplit="9" topLeftCell="A10" activePane="bottomLeft" state="frozen"/>
      <selection pane="bottomLeft" activeCell="F40" sqref="F40"/>
    </sheetView>
  </sheetViews>
  <sheetFormatPr defaultColWidth="0" defaultRowHeight="13.8" x14ac:dyDescent="0.25"/>
  <cols>
    <col min="1" max="1" width="41" style="12" customWidth="1"/>
    <col min="2" max="2" width="34.77734375" style="12" customWidth="1"/>
    <col min="3" max="3" width="14.6640625" style="12" customWidth="1"/>
    <col min="4" max="4" width="10" style="12" customWidth="1"/>
    <col min="5" max="5" width="11.44140625" style="12" customWidth="1"/>
    <col min="6" max="6" width="11.6640625" style="12" customWidth="1"/>
    <col min="7" max="7" width="18.6640625" style="12" bestFit="1" customWidth="1"/>
    <col min="8" max="8" width="20.44140625" style="12" customWidth="1"/>
    <col min="9" max="9" width="16" style="16" customWidth="1"/>
    <col min="10" max="10" width="19.44140625" style="12" customWidth="1"/>
    <col min="11" max="11" width="35.33203125" style="12" customWidth="1"/>
    <col min="12" max="12" width="25.6640625" style="12" hidden="1" customWidth="1"/>
    <col min="13" max="17" width="9.109375" style="12" hidden="1" customWidth="1"/>
    <col min="18" max="16384" width="0" style="14" hidden="1"/>
  </cols>
  <sheetData>
    <row r="1" spans="1:17" s="473" customFormat="1" ht="21" x14ac:dyDescent="0.4">
      <c r="A1" s="573" t="s">
        <v>477</v>
      </c>
      <c r="B1" s="470"/>
      <c r="C1" s="52"/>
      <c r="D1" s="471"/>
      <c r="E1" s="52"/>
      <c r="F1" s="52"/>
      <c r="G1" s="52"/>
      <c r="H1" s="52"/>
      <c r="I1" s="472"/>
      <c r="J1" s="52"/>
      <c r="K1" s="52"/>
      <c r="L1" s="52"/>
      <c r="M1" s="52"/>
      <c r="N1" s="52"/>
      <c r="O1" s="52"/>
      <c r="P1" s="52"/>
      <c r="Q1" s="52"/>
    </row>
    <row r="2" spans="1:17" s="473" customFormat="1" ht="18.75" customHeight="1" x14ac:dyDescent="0.4">
      <c r="A2" s="474"/>
      <c r="B2" s="474"/>
      <c r="C2" s="475">
        <v>2022</v>
      </c>
      <c r="D2" s="52"/>
      <c r="E2" s="52"/>
      <c r="F2" s="576"/>
      <c r="G2" s="576"/>
      <c r="H2" s="576"/>
      <c r="I2" s="52"/>
      <c r="J2" s="52"/>
      <c r="K2" s="52"/>
      <c r="L2" s="52"/>
      <c r="M2" s="52"/>
      <c r="N2" s="52"/>
      <c r="O2" s="52"/>
      <c r="P2" s="52"/>
      <c r="Q2" s="52"/>
    </row>
    <row r="3" spans="1:17" s="473" customFormat="1" x14ac:dyDescent="0.25">
      <c r="A3" s="476" t="s">
        <v>110</v>
      </c>
      <c r="B3" s="476"/>
      <c r="C3" s="476" t="s">
        <v>413</v>
      </c>
      <c r="D3" s="476"/>
      <c r="E3" s="52"/>
      <c r="F3" s="576"/>
      <c r="G3" s="576"/>
      <c r="H3" s="576"/>
      <c r="I3" s="52"/>
      <c r="J3" s="52"/>
      <c r="K3" s="52"/>
      <c r="L3" s="52"/>
      <c r="M3" s="52"/>
      <c r="N3" s="52"/>
      <c r="O3" s="52"/>
      <c r="P3" s="52"/>
      <c r="Q3" s="52"/>
    </row>
    <row r="4" spans="1:17" s="473" customFormat="1" x14ac:dyDescent="0.25">
      <c r="A4" s="52"/>
      <c r="B4" s="52"/>
      <c r="C4" s="52"/>
      <c r="D4" s="52"/>
      <c r="E4" s="52"/>
      <c r="F4" s="576"/>
      <c r="G4" s="576"/>
      <c r="H4" s="576"/>
      <c r="I4" s="52"/>
      <c r="J4" s="52"/>
      <c r="K4" s="52"/>
      <c r="L4" s="52"/>
      <c r="M4" s="52"/>
      <c r="N4" s="52"/>
      <c r="O4" s="52"/>
      <c r="P4" s="52"/>
      <c r="Q4" s="52"/>
    </row>
    <row r="5" spans="1:17" s="473" customFormat="1" ht="14.25" customHeight="1" x14ac:dyDescent="0.25">
      <c r="A5" s="476" t="s">
        <v>122</v>
      </c>
      <c r="B5" s="476"/>
      <c r="C5" s="477" t="s">
        <v>460</v>
      </c>
      <c r="D5" s="477"/>
      <c r="E5" s="477"/>
      <c r="F5" s="579"/>
      <c r="G5" s="577"/>
      <c r="H5" s="578"/>
      <c r="I5" s="52"/>
      <c r="J5" s="52"/>
      <c r="K5" s="52"/>
      <c r="L5" s="52"/>
      <c r="M5" s="52"/>
      <c r="N5" s="52"/>
      <c r="O5" s="52"/>
      <c r="P5" s="52"/>
      <c r="Q5" s="52"/>
    </row>
    <row r="6" spans="1:17" s="473" customFormat="1" ht="15" customHeight="1" x14ac:dyDescent="0.25">
      <c r="A6" s="52"/>
      <c r="B6" s="52"/>
      <c r="C6" s="477" t="s">
        <v>461</v>
      </c>
      <c r="D6" s="477"/>
      <c r="E6" s="477"/>
      <c r="F6" s="579"/>
      <c r="G6" s="577"/>
      <c r="H6" s="576"/>
      <c r="I6" s="479" t="str">
        <f>IF(H10="neúplné údaje","vyberte výši součtu spotřeb","")</f>
        <v/>
      </c>
      <c r="J6" s="52"/>
      <c r="K6" s="52"/>
      <c r="L6" s="52"/>
      <c r="M6" s="52"/>
      <c r="N6" s="52"/>
      <c r="O6" s="52"/>
      <c r="P6" s="52"/>
      <c r="Q6" s="52"/>
    </row>
    <row r="7" spans="1:17" s="473" customFormat="1" ht="25.2" customHeight="1" x14ac:dyDescent="0.4">
      <c r="A7" s="478" t="s">
        <v>111</v>
      </c>
      <c r="B7" s="474"/>
      <c r="C7" s="478" t="s">
        <v>462</v>
      </c>
      <c r="D7" s="52"/>
      <c r="E7" s="52"/>
      <c r="F7" s="576"/>
      <c r="G7" s="576"/>
      <c r="H7" s="576"/>
      <c r="J7" s="52"/>
      <c r="K7" s="52"/>
      <c r="L7" s="52"/>
      <c r="M7" s="52"/>
      <c r="N7" s="52"/>
      <c r="O7" s="52"/>
      <c r="P7" s="52"/>
      <c r="Q7" s="52"/>
    </row>
    <row r="8" spans="1:17" s="473" customFormat="1" ht="24.75" customHeight="1" x14ac:dyDescent="0.4">
      <c r="A8" s="491" t="s">
        <v>468</v>
      </c>
      <c r="B8" s="474"/>
      <c r="C8" s="661"/>
      <c r="D8" s="662"/>
      <c r="E8" s="662"/>
      <c r="F8" s="662"/>
      <c r="G8" s="662"/>
      <c r="H8" s="662"/>
      <c r="I8" s="479"/>
      <c r="J8" s="52"/>
      <c r="K8" s="52"/>
      <c r="L8" s="52"/>
      <c r="M8" s="52"/>
      <c r="N8" s="52"/>
      <c r="O8" s="52"/>
      <c r="P8" s="52"/>
      <c r="Q8" s="52"/>
    </row>
    <row r="9" spans="1:17" s="12" customFormat="1" ht="27" thickBot="1" x14ac:dyDescent="0.3">
      <c r="A9" s="466"/>
      <c r="B9" s="467"/>
      <c r="C9" s="468" t="s">
        <v>106</v>
      </c>
      <c r="D9" s="468" t="s">
        <v>107</v>
      </c>
      <c r="E9" s="468" t="s">
        <v>442</v>
      </c>
      <c r="F9" s="468" t="s">
        <v>443</v>
      </c>
      <c r="G9" s="468" t="s">
        <v>108</v>
      </c>
      <c r="H9" s="469" t="s">
        <v>109</v>
      </c>
      <c r="I9" s="16"/>
      <c r="K9" s="17"/>
    </row>
    <row r="10" spans="1:17" s="12" customFormat="1" ht="20.399999999999999" customHeight="1" x14ac:dyDescent="0.25">
      <c r="A10" s="634" t="s">
        <v>121</v>
      </c>
      <c r="B10" s="635"/>
      <c r="C10" s="422"/>
      <c r="D10" s="38" t="s">
        <v>71</v>
      </c>
      <c r="E10" s="300"/>
      <c r="F10" s="481"/>
      <c r="G10" s="496" t="str">
        <f>IF('ovládací prvky'!$C$6=5,"-",IFERROR(IF(C10=0,"",'Klasik, CNG, M3R, výrobce'!X11),"neúplné údaje"))</f>
        <v/>
      </c>
      <c r="H10" s="480" t="str">
        <f>IF('ovládací prvky'!$C$6=5,"-",IFERROR(IF(C10=0,"",'Klasik, CNG, M3R, výrobce'!Y11),"neúplné údaje"))</f>
        <v/>
      </c>
      <c r="I10" s="663" t="str">
        <f>IF('ovládací prvky'!$C$6=5,"Výrobce plynu neplatí za komoditu, platí pouze za kapacitu.","")</f>
        <v/>
      </c>
      <c r="J10" s="664"/>
      <c r="K10" s="664"/>
      <c r="L10" s="404"/>
    </row>
    <row r="11" spans="1:17" s="12" customFormat="1" ht="20.399999999999999" customHeight="1" x14ac:dyDescent="0.25">
      <c r="A11" s="638" t="s">
        <v>130</v>
      </c>
      <c r="B11" s="639"/>
      <c r="C11" s="53"/>
      <c r="D11" s="39" t="s">
        <v>112</v>
      </c>
      <c r="E11" s="556" t="str">
        <f>IF(C11=0,"",'Klasik, CNG, M3R, výrobce'!F9)</f>
        <v/>
      </c>
      <c r="F11" s="489" t="str">
        <f>IF(C11=0,"","1/12")</f>
        <v/>
      </c>
      <c r="G11" s="568" t="str">
        <f>IF(C11&gt;0,'Klasik, CNG, M3R, výrobce'!X12,"")</f>
        <v/>
      </c>
      <c r="H11" s="569" t="str">
        <f>IF(C11&gt;0,'Klasik, CNG, M3R, výrobce'!Y12,"-")</f>
        <v>-</v>
      </c>
      <c r="I11" s="538"/>
      <c r="J11" s="539"/>
      <c r="K11" s="539"/>
      <c r="L11" s="404"/>
    </row>
    <row r="12" spans="1:17" s="12" customFormat="1" ht="20.399999999999999" customHeight="1" x14ac:dyDescent="0.25">
      <c r="A12" s="636" t="s">
        <v>438</v>
      </c>
      <c r="B12" s="637"/>
      <c r="C12" s="423"/>
      <c r="D12" s="37" t="s">
        <v>112</v>
      </c>
      <c r="E12" s="556" t="str">
        <f>IF(C11&gt;0,"",IF(C12=0,"",'Klasik, CNG, M3R, výrobce'!F9))</f>
        <v/>
      </c>
      <c r="F12" s="489" t="str">
        <f>IF(C11&gt;0,"",IF(C12=0,"","1/12"))</f>
        <v/>
      </c>
      <c r="G12" s="497" t="str">
        <f>IF(C11&gt;0,"",IF('ovládací prvky'!$C$6=5,'Klasik, CNG, M3R, výrobce'!L37,IF(C12=0,"",'Klasik, CNG, M3R, výrobce'!X13)))</f>
        <v/>
      </c>
      <c r="H12" s="542" t="str">
        <f>IF(C11&gt;0,"-",IF('ovládací prvky'!$C$6=5,'Klasik, CNG, M3R, výrobce'!M37,IF(C12=0,"-",'Klasik, CNG, M3R, výrobce'!Y13)))</f>
        <v>-</v>
      </c>
      <c r="I12" s="580" t="str">
        <f>IF(AND('ovládací prvky'!$C$6=3,'Výpočet ceny distribuce'!B36&gt;'Výpočet ceny distribuce'!C12),'ovládací prvky'!$E$9,"")</f>
        <v/>
      </c>
      <c r="J12" s="581"/>
      <c r="K12" s="581"/>
      <c r="L12" s="567"/>
      <c r="M12" s="15"/>
    </row>
    <row r="13" spans="1:17" s="12" customFormat="1" ht="29.4" customHeight="1" thickBot="1" x14ac:dyDescent="0.3">
      <c r="A13" s="636" t="s">
        <v>437</v>
      </c>
      <c r="B13" s="637"/>
      <c r="C13" s="545"/>
      <c r="D13" s="37" t="s">
        <v>112</v>
      </c>
      <c r="E13" s="546" t="str">
        <f>IF(C13=0,"",'Klasik, CNG, M3R, výrobce'!F9)</f>
        <v/>
      </c>
      <c r="F13" s="547" t="str">
        <f>IF(C13=0,"","1/12")</f>
        <v/>
      </c>
      <c r="G13" s="548" t="str">
        <f>IF('ovládací prvky'!$C$6=5,'Klasik, CNG, M3R, výrobce'!E54,IF(C13=0,"",'Klasik, CNG, M3R, výrobce'!X14))</f>
        <v/>
      </c>
      <c r="H13" s="542" t="str">
        <f>IF('ovládací prvky'!$C$6=5,'Klasik, CNG, M3R, výrobce'!P37,IF(C13=0,"-",'Klasik, CNG, M3R, výrobce'!Y14))</f>
        <v>-</v>
      </c>
      <c r="I13" s="580"/>
      <c r="J13" s="581"/>
      <c r="K13" s="581"/>
      <c r="L13" s="567"/>
      <c r="M13" s="15"/>
    </row>
    <row r="14" spans="1:17" s="12" customFormat="1" ht="15" customHeight="1" x14ac:dyDescent="0.25">
      <c r="A14" s="597" t="s">
        <v>94</v>
      </c>
      <c r="B14" s="598"/>
      <c r="C14" s="424"/>
      <c r="D14" s="38" t="s">
        <v>112</v>
      </c>
      <c r="E14" s="557" t="str">
        <f>IF(C11&gt;0,"",IF(C14=0,"",'Klasik, CNG, M3R, výrobce'!F9))</f>
        <v/>
      </c>
      <c r="F14" s="544"/>
      <c r="G14" s="496" t="str">
        <f>IF(C11&gt;0,"",IF('ovládací prvky'!$C$6=5,'Klasik, CNG, M3R, výrobce'!E54,IF(C14=0,"",'Klasik, CNG, M3R, výrobce'!X16)))</f>
        <v/>
      </c>
      <c r="H14" s="540" t="str">
        <f>IF(C11&gt;0,"-",IF('ovládací prvky'!$C$6=5,'Klasik, CNG, M3R, výrobce'!P38,IF(C14=0,"-",'Klasik, CNG, M3R, výrobce'!Y16)))</f>
        <v>-</v>
      </c>
      <c r="I14" s="572" t="str">
        <f>IF(AND(C14&gt;0,$C$11&gt;0),"Pro kapacitu dle hist.maxima se nepočítá platba za měsíční kapacitu.","")</f>
        <v/>
      </c>
      <c r="J14" s="493"/>
      <c r="K14" s="493"/>
      <c r="L14" s="404"/>
      <c r="Q14" s="18"/>
    </row>
    <row r="15" spans="1:17" s="12" customFormat="1" ht="15" customHeight="1" x14ac:dyDescent="0.25">
      <c r="A15" s="585" t="s">
        <v>95</v>
      </c>
      <c r="B15" s="586"/>
      <c r="C15" s="423"/>
      <c r="D15" s="39" t="s">
        <v>112</v>
      </c>
      <c r="E15" s="556" t="str">
        <f>IF(C11&gt;0,"",IF('ovládací prvky'!$C$6=5,"-",IF(C15=0,"",'Klasik, CNG, M3R, výrobce'!F9)))</f>
        <v/>
      </c>
      <c r="F15" s="543"/>
      <c r="G15" s="497" t="str">
        <f>IF(C11&gt;0,"",IF('ovládací prvky'!$C$6=5,"",IF(C15=0,"",'Klasik, CNG, M3R, výrobce'!X17)))</f>
        <v/>
      </c>
      <c r="H15" s="541" t="str">
        <f>IF(C11&gt;0,"-",IF('ovládací prvky'!$C$6=5,"-",IF(C15=0,"-",'Klasik, CNG, M3R, výrobce'!Y17)))</f>
        <v>-</v>
      </c>
      <c r="I15" s="572" t="str">
        <f t="shared" ref="I15:I18" si="0">IF(AND(C15&gt;0,$C$11&gt;0),"Pro kapacitu dle hist.maxima se nepočítá platba za měsíční kapacitu.","")</f>
        <v/>
      </c>
      <c r="K15" s="405"/>
      <c r="L15" s="17"/>
      <c r="Q15" s="18"/>
    </row>
    <row r="16" spans="1:17" s="12" customFormat="1" ht="15" customHeight="1" x14ac:dyDescent="0.25">
      <c r="A16" s="585" t="s">
        <v>96</v>
      </c>
      <c r="B16" s="586"/>
      <c r="C16" s="423"/>
      <c r="D16" s="39" t="s">
        <v>112</v>
      </c>
      <c r="E16" s="556" t="str">
        <f>IF(C11&gt;0,"",IF('ovládací prvky'!$C$6=5,"-",IF(C16=0,"",'Klasik, CNG, M3R, výrobce'!F9)))</f>
        <v/>
      </c>
      <c r="F16" s="543"/>
      <c r="G16" s="497" t="str">
        <f>IF(C11&gt;0,"",IF('ovládací prvky'!$C$6=5,"",IF(C16=0,"",'Klasik, CNG, M3R, výrobce'!X18)))</f>
        <v/>
      </c>
      <c r="H16" s="541" t="str">
        <f>IF(C11&gt;0,"-",IF('ovládací prvky'!$C$6=5,"-",IF(C16=0,"-",'Klasik, CNG, M3R, výrobce'!Y18)))</f>
        <v>-</v>
      </c>
      <c r="I16" s="572" t="str">
        <f t="shared" si="0"/>
        <v/>
      </c>
      <c r="K16" s="405"/>
      <c r="L16" s="17"/>
      <c r="Q16" s="18"/>
    </row>
    <row r="17" spans="1:17" s="12" customFormat="1" ht="15" customHeight="1" x14ac:dyDescent="0.25">
      <c r="A17" s="585" t="s">
        <v>97</v>
      </c>
      <c r="B17" s="586"/>
      <c r="C17" s="423"/>
      <c r="D17" s="39" t="s">
        <v>112</v>
      </c>
      <c r="E17" s="556" t="str">
        <f>IF(C11&gt;0,"",IF('ovládací prvky'!$C$6=5,"-",IF(C17=0,"",'Klasik, CNG, M3R, výrobce'!F9)))</f>
        <v/>
      </c>
      <c r="F17" s="543"/>
      <c r="G17" s="497" t="str">
        <f>IF(C11&gt;0,"",IF('ovládací prvky'!$C$6=5,"",IF(C17=0,"",'Klasik, CNG, M3R, výrobce'!X19)))</f>
        <v/>
      </c>
      <c r="H17" s="541" t="str">
        <f>IF(C11&gt;0,"-",IF('ovládací prvky'!$C$6=5,"-",IF(C17=0,"-",'Klasik, CNG, M3R, výrobce'!Y19)))</f>
        <v>-</v>
      </c>
      <c r="I17" s="572" t="str">
        <f t="shared" si="0"/>
        <v/>
      </c>
      <c r="K17" s="405"/>
      <c r="L17" s="17"/>
      <c r="Q17" s="18"/>
    </row>
    <row r="18" spans="1:17" s="12" customFormat="1" ht="15" customHeight="1" thickBot="1" x14ac:dyDescent="0.3">
      <c r="A18" s="587" t="s">
        <v>98</v>
      </c>
      <c r="B18" s="588"/>
      <c r="C18" s="549"/>
      <c r="D18" s="37" t="s">
        <v>112</v>
      </c>
      <c r="E18" s="558" t="str">
        <f>IF(C11&gt;0,"",IF('ovládací prvky'!$C$6=5,"-",IF(C18=0,"",'Klasik, CNG, M3R, výrobce'!F9)))</f>
        <v/>
      </c>
      <c r="F18" s="550"/>
      <c r="G18" s="551" t="str">
        <f>IF(C11&gt;0,"",IF('ovládací prvky'!$C$6=5,"",IF(C18=0,"",'Klasik, CNG, M3R, výrobce'!X20)))</f>
        <v/>
      </c>
      <c r="H18" s="542" t="str">
        <f>IF(C11&gt;0,"-",IF('ovládací prvky'!$C$6=5,"-",IF(C18=0,"-",'Klasik, CNG, M3R, výrobce'!Y20)))</f>
        <v>-</v>
      </c>
      <c r="I18" s="572" t="str">
        <f t="shared" si="0"/>
        <v/>
      </c>
      <c r="K18" s="405"/>
      <c r="L18" s="19"/>
      <c r="Q18" s="18"/>
    </row>
    <row r="19" spans="1:17" s="12" customFormat="1" ht="15" customHeight="1" x14ac:dyDescent="0.25">
      <c r="A19" s="589" t="s">
        <v>99</v>
      </c>
      <c r="B19" s="590"/>
      <c r="C19" s="591"/>
      <c r="D19" s="594" t="s">
        <v>112</v>
      </c>
      <c r="E19" s="602" t="str">
        <f>IF(C11&gt;0,"",IF('ovládací prvky'!$C$6=5,"-",IF(OR(C19=0,A21=0),"",'Klasik, CNG, M3R, výrobce'!E82)))</f>
        <v/>
      </c>
      <c r="F19" s="605" t="str">
        <f>IF(C11&gt;0,"",IF('ovládací prvky'!$C$6=5,"-",IF(C19=0,"",'Klasik, CNG, M3R, výrobce'!V26)))</f>
        <v/>
      </c>
      <c r="G19" s="605" t="str">
        <f>IF(C11&gt;0,"",IF('ovládací prvky'!$C$6=5,"",IF(E19=0,"",IF(C19=0,"",'Klasik, CNG, M3R, výrobce'!X26))))</f>
        <v/>
      </c>
      <c r="H19" s="599" t="str">
        <f>IF(C11&gt;0,"-",IF('ovládací prvky'!$C$6=5,"-",IF(C19=0,"-",'Klasik, CNG, M3R, výrobce'!Y26)))</f>
        <v>-</v>
      </c>
      <c r="I19" s="16"/>
      <c r="L19" s="20"/>
      <c r="M19" s="21"/>
      <c r="Q19" s="18"/>
    </row>
    <row r="20" spans="1:17" s="12" customFormat="1" ht="15" customHeight="1" x14ac:dyDescent="0.25">
      <c r="A20" s="553" t="s">
        <v>116</v>
      </c>
      <c r="B20" s="552" t="s">
        <v>118</v>
      </c>
      <c r="C20" s="592"/>
      <c r="D20" s="595"/>
      <c r="E20" s="603"/>
      <c r="F20" s="606"/>
      <c r="G20" s="606"/>
      <c r="H20" s="600"/>
      <c r="I20" s="572" t="str">
        <f>IF(AND(C19&gt;0,$C$11&gt;0),"Pro kapacitu dle hist.maxima se nepočítá platba za klouzavou kapacitu.","")</f>
        <v/>
      </c>
      <c r="L20" s="20"/>
      <c r="Q20" s="18"/>
    </row>
    <row r="21" spans="1:17" s="12" customFormat="1" ht="15" customHeight="1" thickBot="1" x14ac:dyDescent="0.3">
      <c r="A21" s="425"/>
      <c r="B21" s="554"/>
      <c r="C21" s="593"/>
      <c r="D21" s="596"/>
      <c r="E21" s="604"/>
      <c r="F21" s="607"/>
      <c r="G21" s="607"/>
      <c r="H21" s="601"/>
      <c r="I21" s="572"/>
      <c r="J21" s="413"/>
      <c r="L21" s="20"/>
      <c r="Q21" s="18"/>
    </row>
    <row r="22" spans="1:17" s="12" customFormat="1" ht="15" customHeight="1" x14ac:dyDescent="0.25">
      <c r="A22" s="597" t="s">
        <v>100</v>
      </c>
      <c r="B22" s="598"/>
      <c r="C22" s="591"/>
      <c r="D22" s="594" t="s">
        <v>112</v>
      </c>
      <c r="E22" s="602" t="str">
        <f>IF(C11&gt;0,"",IF('ovládací prvky'!$C$6=5,"-",IF(OR(C22=0,A24=0),"",'Klasik, CNG, M3R, výrobce'!F82)))</f>
        <v/>
      </c>
      <c r="F22" s="605" t="str">
        <f>IF(C11&gt;0,"",IF('ovládací prvky'!$C$6=5,"-",IF(C22=0,"",'Klasik, CNG, M3R, výrobce'!V27)))</f>
        <v/>
      </c>
      <c r="G22" s="605" t="str">
        <f>IF(C11&gt;0,"",IF('ovládací prvky'!$C$6=5,"",IF(E22=0,"",IF(C22=0,"",'Klasik, CNG, M3R, výrobce'!X27))))</f>
        <v/>
      </c>
      <c r="H22" s="599" t="str">
        <f>IF(C11&gt;0,"-",IF('ovládací prvky'!$C$6=5,"-",IF(C22=0,"-",'Klasik, CNG, M3R, výrobce'!Y27)))</f>
        <v>-</v>
      </c>
      <c r="I22" s="16"/>
      <c r="J22" s="413"/>
      <c r="L22" s="20"/>
      <c r="Q22" s="18"/>
    </row>
    <row r="23" spans="1:17" s="12" customFormat="1" ht="15" customHeight="1" x14ac:dyDescent="0.25">
      <c r="A23" s="403" t="s">
        <v>116</v>
      </c>
      <c r="B23" s="555" t="s">
        <v>118</v>
      </c>
      <c r="C23" s="592"/>
      <c r="D23" s="595"/>
      <c r="E23" s="603"/>
      <c r="F23" s="606"/>
      <c r="G23" s="606"/>
      <c r="H23" s="600"/>
      <c r="I23" s="572" t="str">
        <f>IF(AND(C22&gt;0,$C$11&gt;0),"Pro kapacitu dle hist.maxima se nepočítá platba za klouzavou kapacitu.","")</f>
        <v/>
      </c>
      <c r="J23" s="413"/>
      <c r="L23" s="20"/>
      <c r="Q23" s="18"/>
    </row>
    <row r="24" spans="1:17" s="12" customFormat="1" ht="15" customHeight="1" thickBot="1" x14ac:dyDescent="0.3">
      <c r="A24" s="425"/>
      <c r="B24" s="554"/>
      <c r="C24" s="593"/>
      <c r="D24" s="596"/>
      <c r="E24" s="604"/>
      <c r="F24" s="607"/>
      <c r="G24" s="607"/>
      <c r="H24" s="601"/>
      <c r="I24" s="572"/>
      <c r="J24" s="413"/>
      <c r="K24" s="23"/>
      <c r="Q24" s="24"/>
    </row>
    <row r="25" spans="1:17" s="12" customFormat="1" ht="15" customHeight="1" x14ac:dyDescent="0.25">
      <c r="A25" s="597" t="s">
        <v>101</v>
      </c>
      <c r="B25" s="598"/>
      <c r="C25" s="591"/>
      <c r="D25" s="594" t="s">
        <v>112</v>
      </c>
      <c r="E25" s="582" t="str">
        <f>IF(C11&gt;0,"",IF('ovládací prvky'!$C$6=5,"-",IF(OR(A27=0,C25=0),"",'Klasik, CNG, M3R, výrobce'!G82)))</f>
        <v/>
      </c>
      <c r="F25" s="605" t="str">
        <f>IF(C11&gt;0,"",IF('ovládací prvky'!$C$6=5,"-",IF(C25=0,"",'Klasik, CNG, M3R, výrobce'!V28)))</f>
        <v/>
      </c>
      <c r="G25" s="605" t="str">
        <f>IF(C11&gt;0,"",IF('ovládací prvky'!$C$6=5,"",IF(E25=0,"",IF(C25=0,"",'Klasik, CNG, M3R, výrobce'!X28))))</f>
        <v/>
      </c>
      <c r="H25" s="599" t="str">
        <f>IF(C11&gt;0,"-",IF('ovládací prvky'!$C$6=5,"-",IF(C25=0,"-",'Klasik, CNG, M3R, výrobce'!Y28)))</f>
        <v>-</v>
      </c>
      <c r="I25" s="16"/>
      <c r="J25" s="22"/>
      <c r="K25" s="25"/>
      <c r="Q25" s="18"/>
    </row>
    <row r="26" spans="1:17" s="12" customFormat="1" ht="15" customHeight="1" x14ac:dyDescent="0.25">
      <c r="A26" s="403" t="s">
        <v>117</v>
      </c>
      <c r="B26" s="555" t="s">
        <v>118</v>
      </c>
      <c r="C26" s="592"/>
      <c r="D26" s="595"/>
      <c r="E26" s="583"/>
      <c r="F26" s="606"/>
      <c r="G26" s="606"/>
      <c r="H26" s="600"/>
      <c r="I26" s="572" t="str">
        <f>IF(AND(C25&gt;0,$C$11&gt;0),"Pro kapacitu dle hist.maxima se nepočítá platba za klouzavou kapacitu.","")</f>
        <v/>
      </c>
      <c r="J26" s="22"/>
      <c r="K26" s="25"/>
      <c r="Q26" s="18"/>
    </row>
    <row r="27" spans="1:17" s="12" customFormat="1" ht="15" customHeight="1" thickBot="1" x14ac:dyDescent="0.3">
      <c r="A27" s="425"/>
      <c r="B27" s="554"/>
      <c r="C27" s="593"/>
      <c r="D27" s="596"/>
      <c r="E27" s="584"/>
      <c r="F27" s="607"/>
      <c r="G27" s="607"/>
      <c r="H27" s="601"/>
      <c r="I27" s="572"/>
      <c r="J27" s="22"/>
      <c r="K27" s="25"/>
      <c r="Q27" s="18"/>
    </row>
    <row r="28" spans="1:17" s="12" customFormat="1" ht="15" customHeight="1" x14ac:dyDescent="0.25">
      <c r="A28" s="597" t="s">
        <v>102</v>
      </c>
      <c r="B28" s="598"/>
      <c r="C28" s="591"/>
      <c r="D28" s="594" t="s">
        <v>112</v>
      </c>
      <c r="E28" s="582" t="str">
        <f>IF(C11&gt;0,"",IF('ovládací prvky'!$C$6=5,"-",IF(OR(C28=0,A30=0),"",'Klasik, CNG, M3R, výrobce'!H82)))</f>
        <v/>
      </c>
      <c r="F28" s="605" t="str">
        <f>IF(C11&gt;0,"",IF(C11&gt;0,"",IF('ovládací prvky'!$C$6=5,"-",IF(C28=0,"",'Klasik, CNG, M3R, výrobce'!V29))))</f>
        <v/>
      </c>
      <c r="G28" s="605" t="str">
        <f>IF(C11&gt;0,"",IF('ovládací prvky'!$C$6=5,"",IF(E28=0,"",IF(C28=0,"",'Klasik, CNG, M3R, výrobce'!X29))))</f>
        <v/>
      </c>
      <c r="H28" s="599" t="str">
        <f>IF(C11&gt;0,"-",IF('ovládací prvky'!$C$6=5,"-",IF(C28=0,"-",'Klasik, CNG, M3R, výrobce'!Y29)))</f>
        <v>-</v>
      </c>
      <c r="I28" s="16"/>
      <c r="J28" s="22"/>
      <c r="K28" s="25"/>
      <c r="Q28" s="18"/>
    </row>
    <row r="29" spans="1:17" s="12" customFormat="1" ht="15" customHeight="1" x14ac:dyDescent="0.25">
      <c r="A29" s="403" t="s">
        <v>117</v>
      </c>
      <c r="B29" s="555" t="s">
        <v>118</v>
      </c>
      <c r="C29" s="592"/>
      <c r="D29" s="595"/>
      <c r="E29" s="583"/>
      <c r="F29" s="606"/>
      <c r="G29" s="606"/>
      <c r="H29" s="600"/>
      <c r="I29" s="572" t="str">
        <f>IF(AND(C28&gt;0,$C$11&gt;0),"Pro kapacitu dle hist.maxima se nepočítá platba za klouzavou kapacitu.","")</f>
        <v/>
      </c>
      <c r="J29" s="22"/>
      <c r="K29" s="25"/>
      <c r="Q29" s="18"/>
    </row>
    <row r="30" spans="1:17" ht="15" customHeight="1" thickBot="1" x14ac:dyDescent="0.3">
      <c r="A30" s="425"/>
      <c r="B30" s="554"/>
      <c r="C30" s="593"/>
      <c r="D30" s="596"/>
      <c r="E30" s="584"/>
      <c r="F30" s="607"/>
      <c r="G30" s="607"/>
      <c r="H30" s="601"/>
      <c r="I30" s="572"/>
      <c r="K30" s="23"/>
      <c r="Q30" s="27"/>
    </row>
    <row r="31" spans="1:17" ht="15" customHeight="1" x14ac:dyDescent="0.25">
      <c r="A31" s="597" t="s">
        <v>103</v>
      </c>
      <c r="B31" s="598"/>
      <c r="C31" s="591"/>
      <c r="D31" s="594" t="s">
        <v>112</v>
      </c>
      <c r="E31" s="582" t="str">
        <f>IF(C11&gt;0,"",IF('ovládací prvky'!$C$6=5,"-",IF(OR(C31=0,A33=0),"",'Klasik, CNG, M3R, výrobce'!I82)))</f>
        <v/>
      </c>
      <c r="F31" s="605" t="str">
        <f>IF(C11&gt;0,"",IF('ovládací prvky'!$C$6=5,"-",IF(C31=0,"",'Klasik, CNG, M3R, výrobce'!V30)))</f>
        <v/>
      </c>
      <c r="G31" s="605" t="str">
        <f>IF(C11&gt;0,"",IF('ovládací prvky'!$C$6=5,"",IF(E31=0,"",IF(C31=0,"",'Klasik, CNG, M3R, výrobce'!X30))))</f>
        <v/>
      </c>
      <c r="H31" s="599" t="str">
        <f>IF(C11&gt;0,"-",IF('ovládací prvky'!$C$6=5,"-",IF(C31=0,"-",'Klasik, CNG, M3R, výrobce'!Y30)))</f>
        <v>-</v>
      </c>
      <c r="J31" s="26"/>
      <c r="K31" s="571"/>
    </row>
    <row r="32" spans="1:17" ht="15.6" customHeight="1" x14ac:dyDescent="0.25">
      <c r="A32" s="403" t="s">
        <v>117</v>
      </c>
      <c r="B32" s="555" t="s">
        <v>118</v>
      </c>
      <c r="C32" s="592"/>
      <c r="D32" s="595"/>
      <c r="E32" s="583"/>
      <c r="F32" s="606"/>
      <c r="G32" s="606"/>
      <c r="H32" s="600"/>
      <c r="I32" s="572" t="str">
        <f>IF(AND(C31&gt;0,$C$11&gt;0),"Pro kapacitu dle hist.maxima se nepočítá platba za klouzavou kapacitu.","")</f>
        <v/>
      </c>
      <c r="J32" s="26"/>
      <c r="K32" s="571"/>
    </row>
    <row r="33" spans="1:17" ht="15.6" customHeight="1" thickBot="1" x14ac:dyDescent="0.3">
      <c r="A33" s="425"/>
      <c r="B33" s="554"/>
      <c r="C33" s="593"/>
      <c r="D33" s="596"/>
      <c r="E33" s="584"/>
      <c r="F33" s="607"/>
      <c r="G33" s="607"/>
      <c r="H33" s="601"/>
      <c r="I33" s="572"/>
    </row>
    <row r="34" spans="1:17" ht="13.95" customHeight="1" x14ac:dyDescent="0.25">
      <c r="A34" s="626" t="s">
        <v>435</v>
      </c>
      <c r="B34" s="627"/>
      <c r="C34" s="642">
        <f>IF(C11&gt;0,"",IF('ovládací prvky'!$C$6=5,'Klasik, CNG, M3R, výrobce'!J38,'Klasik, CNG, M3R, výrobce'!F22))</f>
        <v>0</v>
      </c>
      <c r="D34" s="594" t="s">
        <v>112</v>
      </c>
      <c r="E34" s="594"/>
      <c r="F34" s="594"/>
      <c r="G34" s="619" t="str">
        <f>IF(OR(C34=0,C34=""),"",IF('ovládací prvky'!$C$6=5,'Klasik, CNG, M3R, výrobce'!L38,'Klasik, CNG, M3R, výrobce'!W31))</f>
        <v/>
      </c>
      <c r="H34" s="599" t="str">
        <f>IF(OR(C34=0,C34=""),"-",IF('ovládací prvky'!$C$6=5,'Klasik, CNG, M3R, výrobce'!M38,'Klasik, CNG, M3R, výrobce'!Y31))</f>
        <v>-</v>
      </c>
      <c r="I34" s="666" t="str">
        <f>IF(C11&gt;0,"Pro kapacitu dle hist.maxima se nepočítá platba za překročení.",IF('ovládací prvky'!$C$6=4,'ovládací prvky'!$D$10,""))</f>
        <v/>
      </c>
      <c r="J34" s="666"/>
      <c r="K34" s="666"/>
    </row>
    <row r="35" spans="1:17" ht="30.6" customHeight="1" x14ac:dyDescent="0.25">
      <c r="A35" s="574" t="s">
        <v>480</v>
      </c>
      <c r="B35" s="559" t="s">
        <v>444</v>
      </c>
      <c r="C35" s="643"/>
      <c r="D35" s="595"/>
      <c r="E35" s="595"/>
      <c r="F35" s="595"/>
      <c r="G35" s="658"/>
      <c r="H35" s="600"/>
      <c r="I35" s="666"/>
      <c r="J35" s="666"/>
      <c r="K35" s="666"/>
    </row>
    <row r="36" spans="1:17" ht="15.6" customHeight="1" thickBot="1" x14ac:dyDescent="0.3">
      <c r="A36" s="561"/>
      <c r="B36" s="562"/>
      <c r="C36" s="644"/>
      <c r="D36" s="645"/>
      <c r="E36" s="645"/>
      <c r="F36" s="645"/>
      <c r="G36" s="615"/>
      <c r="H36" s="657"/>
      <c r="I36" s="666"/>
      <c r="J36" s="666"/>
      <c r="K36" s="666"/>
    </row>
    <row r="37" spans="1:17" ht="38.4" customHeight="1" thickBot="1" x14ac:dyDescent="0.3">
      <c r="A37" s="623" t="s">
        <v>433</v>
      </c>
      <c r="B37" s="624"/>
      <c r="C37" s="624"/>
      <c r="D37" s="624"/>
      <c r="E37" s="624"/>
      <c r="F37" s="624"/>
      <c r="G37" s="625"/>
      <c r="H37" s="414">
        <f>IF(H10="neúplné údaje","neúplné údaje",IF(OR(I37="",I37='ovládací prvky'!D10),SUM(H10:H36),"neúplné údaje"))</f>
        <v>0</v>
      </c>
      <c r="I37" s="665" t="str">
        <f>IF(AND($B$36="",'ovládací prvky'!$C$6=3),'ovládací prvky'!$D$9,"")</f>
        <v/>
      </c>
      <c r="J37" s="666"/>
      <c r="K37" s="666"/>
    </row>
    <row r="38" spans="1:17" s="46" customFormat="1" ht="15.6" customHeight="1" thickBot="1" x14ac:dyDescent="0.35">
      <c r="A38" s="655" t="s">
        <v>132</v>
      </c>
      <c r="B38" s="656"/>
      <c r="C38" s="428" t="str">
        <f>IF('ovládací prvky'!$C$6=5,"-",IF(C10="","",C10))</f>
        <v/>
      </c>
      <c r="D38" s="44" t="s">
        <v>71</v>
      </c>
      <c r="E38" s="45"/>
      <c r="F38" s="45"/>
      <c r="G38" s="42">
        <f>IF('ovládací prvky'!$C$6=5,"-",IF(C38=0,"",'Klasik, CNG, M3R, výrobce'!X32))</f>
        <v>2.0400000000000001E-3</v>
      </c>
      <c r="H38" s="43" t="str">
        <f>IF('ovládací prvky'!$C$6=5,"-",IF(C10=0,"",'Klasik, CNG, M3R, výrobce'!Y32))</f>
        <v/>
      </c>
      <c r="I38" s="409"/>
      <c r="J38" s="21"/>
      <c r="K38" s="21"/>
      <c r="L38" s="21"/>
      <c r="M38" s="21"/>
      <c r="N38" s="21"/>
      <c r="O38" s="21"/>
      <c r="P38" s="21"/>
      <c r="Q38" s="21"/>
    </row>
    <row r="39" spans="1:17" s="35" customFormat="1" ht="35.4" customHeight="1" thickTop="1" thickBot="1" x14ac:dyDescent="0.3">
      <c r="A39" s="608" t="s">
        <v>434</v>
      </c>
      <c r="B39" s="609"/>
      <c r="C39" s="609"/>
      <c r="D39" s="609"/>
      <c r="E39" s="609"/>
      <c r="F39" s="609"/>
      <c r="G39" s="610"/>
      <c r="H39" s="510">
        <f>IF(H10="neúplné údaje","neúplné údaje",SUM(H37:H38))</f>
        <v>0</v>
      </c>
      <c r="I39" s="409"/>
      <c r="J39" s="21"/>
      <c r="K39" s="21"/>
      <c r="L39" s="13"/>
      <c r="M39" s="13"/>
      <c r="N39" s="13"/>
      <c r="O39" s="13"/>
      <c r="P39" s="13"/>
      <c r="Q39" s="13"/>
    </row>
    <row r="40" spans="1:17" x14ac:dyDescent="0.25">
      <c r="F40" s="29"/>
      <c r="G40" s="30"/>
      <c r="H40" s="30"/>
      <c r="I40" s="409"/>
      <c r="J40" s="21"/>
      <c r="K40" s="30"/>
    </row>
    <row r="41" spans="1:17" x14ac:dyDescent="0.25">
      <c r="A41" s="12" t="s">
        <v>104</v>
      </c>
      <c r="C41" s="492" t="str">
        <f>IF(SUM(C14:C18)=0,"není zadána měsíční kapacita",'Klasik, CNG, M3R, výrobce'!P16)</f>
        <v>není zadána měsíční kapacita</v>
      </c>
      <c r="G41" s="30"/>
      <c r="H41" s="30"/>
      <c r="I41" s="31"/>
      <c r="J41" s="30"/>
      <c r="K41" s="30"/>
    </row>
    <row r="42" spans="1:17" x14ac:dyDescent="0.25">
      <c r="A42" s="12" t="s">
        <v>470</v>
      </c>
      <c r="C42" s="492" t="str">
        <f>IF(SUM(C19:C33)=0,"není zadána klouzavá kapacita",'Klasik, CNG, M3R, výrobce'!P26)</f>
        <v>není zadána klouzavá kapacita</v>
      </c>
      <c r="G42" s="30"/>
      <c r="H42" s="30"/>
      <c r="I42" s="31"/>
      <c r="J42" s="30"/>
      <c r="K42" s="30"/>
    </row>
    <row r="43" spans="1:17" x14ac:dyDescent="0.25">
      <c r="A43" s="12" t="s">
        <v>436</v>
      </c>
      <c r="C43" s="492" t="str">
        <f>IF(OR(H34=0,H34="-"),"nedošlo k nadlimitnímu překročení rezervované kapacity",'Klasik, CNG, M3R, výrobce'!P31)</f>
        <v>nedošlo k nadlimitnímu překročení rezervované kapacity</v>
      </c>
      <c r="G43" s="30"/>
      <c r="H43" s="30"/>
      <c r="I43" s="31"/>
      <c r="J43" s="30"/>
      <c r="K43" s="30"/>
    </row>
    <row r="44" spans="1:17" ht="30" customHeight="1" x14ac:dyDescent="0.25">
      <c r="G44" s="30"/>
      <c r="H44" s="30"/>
      <c r="I44" s="410"/>
      <c r="J44" s="30"/>
      <c r="K44" s="32"/>
    </row>
    <row r="45" spans="1:17" ht="19.5" customHeight="1" x14ac:dyDescent="0.4">
      <c r="A45" s="573" t="s">
        <v>478</v>
      </c>
      <c r="B45" s="36"/>
      <c r="C45" s="36"/>
      <c r="D45" s="49"/>
      <c r="H45" s="15"/>
      <c r="I45" s="411"/>
      <c r="J45" s="17"/>
    </row>
    <row r="46" spans="1:17" ht="21.6" thickBot="1" x14ac:dyDescent="0.45">
      <c r="A46" s="11"/>
      <c r="B46" s="11"/>
      <c r="H46" s="15"/>
      <c r="I46" s="411"/>
      <c r="J46" s="17"/>
    </row>
    <row r="47" spans="1:17" ht="33.75" customHeight="1" thickBot="1" x14ac:dyDescent="0.3">
      <c r="A47" s="611"/>
      <c r="B47" s="612"/>
      <c r="C47" s="563" t="s">
        <v>106</v>
      </c>
      <c r="D47" s="563" t="s">
        <v>107</v>
      </c>
      <c r="E47" s="563" t="s">
        <v>442</v>
      </c>
      <c r="F47" s="563" t="s">
        <v>443</v>
      </c>
      <c r="G47" s="563" t="s">
        <v>114</v>
      </c>
      <c r="H47" s="564" t="s">
        <v>109</v>
      </c>
    </row>
    <row r="48" spans="1:17" ht="25.5" customHeight="1" x14ac:dyDescent="0.25">
      <c r="A48" s="597" t="s">
        <v>438</v>
      </c>
      <c r="B48" s="598"/>
      <c r="C48" s="422"/>
      <c r="D48" s="483" t="s">
        <v>112</v>
      </c>
      <c r="E48" s="619"/>
      <c r="F48" s="619"/>
      <c r="G48" s="619"/>
      <c r="H48" s="620"/>
    </row>
    <row r="49" spans="1:17" ht="25.5" customHeight="1" x14ac:dyDescent="0.25">
      <c r="A49" s="585" t="s">
        <v>437</v>
      </c>
      <c r="B49" s="586"/>
      <c r="C49" s="560"/>
      <c r="D49" s="482"/>
      <c r="E49" s="486"/>
      <c r="F49" s="486"/>
      <c r="G49" s="486"/>
      <c r="H49" s="565"/>
    </row>
    <row r="50" spans="1:17" ht="29.25" customHeight="1" thickBot="1" x14ac:dyDescent="0.3">
      <c r="A50" s="613" t="s">
        <v>113</v>
      </c>
      <c r="B50" s="614"/>
      <c r="C50" s="562"/>
      <c r="D50" s="484" t="s">
        <v>112</v>
      </c>
      <c r="E50" s="615"/>
      <c r="F50" s="615"/>
      <c r="G50" s="615"/>
      <c r="H50" s="616"/>
      <c r="K50" s="405"/>
      <c r="L50" s="404"/>
    </row>
    <row r="51" spans="1:17" x14ac:dyDescent="0.25">
      <c r="A51" s="646" t="s">
        <v>471</v>
      </c>
      <c r="B51" s="647"/>
      <c r="C51" s="647"/>
      <c r="D51" s="647"/>
      <c r="E51" s="647"/>
      <c r="F51" s="647"/>
      <c r="G51" s="647"/>
      <c r="H51" s="648"/>
      <c r="K51" s="405"/>
      <c r="L51" s="404"/>
      <c r="M51" s="419"/>
      <c r="N51" s="419"/>
    </row>
    <row r="52" spans="1:17" x14ac:dyDescent="0.25">
      <c r="A52" s="649"/>
      <c r="B52" s="650"/>
      <c r="C52" s="650"/>
      <c r="D52" s="650"/>
      <c r="E52" s="650"/>
      <c r="F52" s="650"/>
      <c r="G52" s="650"/>
      <c r="H52" s="651"/>
      <c r="K52" s="419"/>
      <c r="L52" s="419"/>
      <c r="M52" s="419"/>
      <c r="N52" s="419"/>
    </row>
    <row r="53" spans="1:17" x14ac:dyDescent="0.25">
      <c r="A53" s="649"/>
      <c r="B53" s="650"/>
      <c r="C53" s="650"/>
      <c r="D53" s="650"/>
      <c r="E53" s="650"/>
      <c r="F53" s="650"/>
      <c r="G53" s="650"/>
      <c r="H53" s="651"/>
      <c r="K53" s="419"/>
      <c r="L53" s="419"/>
      <c r="M53" s="419"/>
      <c r="N53" s="419"/>
    </row>
    <row r="54" spans="1:17" ht="14.4" thickBot="1" x14ac:dyDescent="0.3">
      <c r="A54" s="652"/>
      <c r="B54" s="653"/>
      <c r="C54" s="653"/>
      <c r="D54" s="653"/>
      <c r="E54" s="653"/>
      <c r="F54" s="653"/>
      <c r="G54" s="653"/>
      <c r="H54" s="654"/>
      <c r="I54" s="407"/>
      <c r="K54" s="419"/>
      <c r="L54" s="419"/>
      <c r="M54" s="419"/>
      <c r="N54" s="419"/>
    </row>
    <row r="55" spans="1:17" ht="19.2" customHeight="1" thickBot="1" x14ac:dyDescent="0.3">
      <c r="A55" s="617" t="s">
        <v>93</v>
      </c>
      <c r="B55" s="618"/>
      <c r="C55" s="566"/>
      <c r="D55" s="485" t="s">
        <v>71</v>
      </c>
      <c r="E55" s="487"/>
      <c r="F55" s="487"/>
      <c r="G55" s="498">
        <f>'Špičkový odběr '!H19</f>
        <v>0.52181</v>
      </c>
      <c r="H55" s="488">
        <f>'Špičkový odběr '!I19</f>
        <v>0</v>
      </c>
      <c r="J55" s="415"/>
      <c r="K55" s="417"/>
      <c r="L55" s="33"/>
      <c r="M55" s="33"/>
      <c r="N55" s="33"/>
    </row>
    <row r="56" spans="1:17" ht="13.95" customHeight="1" x14ac:dyDescent="0.25">
      <c r="A56" s="626" t="s">
        <v>435</v>
      </c>
      <c r="B56" s="627"/>
      <c r="C56" s="628"/>
      <c r="D56" s="630" t="s">
        <v>112</v>
      </c>
      <c r="E56" s="632"/>
      <c r="F56" s="632"/>
      <c r="G56" s="659">
        <f>'Špičkový odběr '!E19</f>
        <v>207.58376999999999</v>
      </c>
      <c r="H56" s="640">
        <f>'Špičkový odběr '!K19</f>
        <v>0</v>
      </c>
      <c r="I56" s="408"/>
      <c r="K56" s="417"/>
      <c r="L56" s="418"/>
    </row>
    <row r="57" spans="1:17" ht="15.6" customHeight="1" thickBot="1" x14ac:dyDescent="0.3">
      <c r="A57" s="416" t="s">
        <v>444</v>
      </c>
      <c r="B57" s="426"/>
      <c r="C57" s="629"/>
      <c r="D57" s="631"/>
      <c r="E57" s="633"/>
      <c r="F57" s="633"/>
      <c r="G57" s="660"/>
      <c r="H57" s="641"/>
      <c r="I57" s="408"/>
      <c r="K57" s="417"/>
    </row>
    <row r="58" spans="1:17" ht="15.6" customHeight="1" thickBot="1" x14ac:dyDescent="0.3">
      <c r="A58" s="623" t="s">
        <v>433</v>
      </c>
      <c r="B58" s="624"/>
      <c r="C58" s="624"/>
      <c r="D58" s="624"/>
      <c r="E58" s="624"/>
      <c r="F58" s="624"/>
      <c r="G58" s="625"/>
      <c r="H58" s="499">
        <f>SUM(H55:H57)</f>
        <v>0</v>
      </c>
      <c r="J58" s="415"/>
      <c r="K58" s="28"/>
    </row>
    <row r="59" spans="1:17" ht="19.5" customHeight="1" thickBot="1" x14ac:dyDescent="0.3">
      <c r="A59" s="621" t="s">
        <v>132</v>
      </c>
      <c r="B59" s="622"/>
      <c r="C59" s="428" t="str">
        <f>IF(C55=0,"",C55)</f>
        <v/>
      </c>
      <c r="D59" s="40" t="s">
        <v>71</v>
      </c>
      <c r="E59" s="41"/>
      <c r="F59" s="41"/>
      <c r="G59" s="42">
        <f>'Špičkový odběr '!D6</f>
        <v>2.0400000000000001E-3</v>
      </c>
      <c r="H59" s="43">
        <f>'Špičkový odběr '!J18</f>
        <v>0</v>
      </c>
      <c r="J59" s="415"/>
    </row>
    <row r="60" spans="1:17" s="35" customFormat="1" ht="21" customHeight="1" thickTop="1" thickBot="1" x14ac:dyDescent="0.3">
      <c r="A60" s="608" t="s">
        <v>429</v>
      </c>
      <c r="B60" s="609"/>
      <c r="C60" s="609"/>
      <c r="D60" s="609"/>
      <c r="E60" s="609"/>
      <c r="F60" s="609"/>
      <c r="G60" s="610"/>
      <c r="H60" s="511" t="str">
        <f>IF(C55=0,"",SUM(H58:H59))</f>
        <v/>
      </c>
      <c r="I60" s="412"/>
      <c r="J60" s="415"/>
      <c r="K60" s="23"/>
      <c r="L60" s="13"/>
      <c r="M60" s="13"/>
      <c r="N60" s="13"/>
      <c r="O60" s="13"/>
      <c r="P60" s="13"/>
      <c r="Q60" s="13"/>
    </row>
    <row r="62" spans="1:17" x14ac:dyDescent="0.25">
      <c r="A62" s="12" t="s">
        <v>436</v>
      </c>
      <c r="C62" s="492" t="str">
        <f>IF(OR(H56=0,H56=""),"nedošlo k nadlimitnímu překročení rezervované kapacity",'Klasik, CNG, M3R, výrobce'!P50)</f>
        <v>nedošlo k nadlimitnímu překročení rezervované kapacity</v>
      </c>
      <c r="G62" s="30"/>
      <c r="H62" s="30"/>
      <c r="I62" s="31"/>
      <c r="J62" s="30"/>
      <c r="K62" s="30"/>
    </row>
    <row r="64" spans="1:17" x14ac:dyDescent="0.25">
      <c r="A64" s="12" t="s">
        <v>137</v>
      </c>
    </row>
    <row r="65" spans="1:1" x14ac:dyDescent="0.25">
      <c r="A65" s="12" t="s">
        <v>105</v>
      </c>
    </row>
  </sheetData>
  <sheetProtection algorithmName="SHA-512" hashValue="YvVU9g9AK5dSU5VNlKlzLyS9zyTemuoGyplSWN5k2Yqv7aXdFCxWqgTe5bMrb9kJ2ZkMoDyVkp3Tm7iW1SD21g==" saltValue="Q1HQxpoyh2qaG9e9ezDhSA==" spinCount="100000" sheet="1" selectLockedCells="1"/>
  <mergeCells count="77">
    <mergeCell ref="F28:F30"/>
    <mergeCell ref="G56:G57"/>
    <mergeCell ref="C8:H8"/>
    <mergeCell ref="I10:K10"/>
    <mergeCell ref="I37:K37"/>
    <mergeCell ref="I34:K36"/>
    <mergeCell ref="G31:G33"/>
    <mergeCell ref="F31:F33"/>
    <mergeCell ref="F22:F24"/>
    <mergeCell ref="G22:G24"/>
    <mergeCell ref="H22:H24"/>
    <mergeCell ref="H31:H33"/>
    <mergeCell ref="H25:H27"/>
    <mergeCell ref="H28:H30"/>
    <mergeCell ref="G28:G30"/>
    <mergeCell ref="F25:F27"/>
    <mergeCell ref="G25:G27"/>
    <mergeCell ref="A34:B34"/>
    <mergeCell ref="C34:C36"/>
    <mergeCell ref="D34:D36"/>
    <mergeCell ref="E34:E36"/>
    <mergeCell ref="A51:H54"/>
    <mergeCell ref="F34:F36"/>
    <mergeCell ref="A39:G39"/>
    <mergeCell ref="A38:B38"/>
    <mergeCell ref="H34:H36"/>
    <mergeCell ref="A37:G37"/>
    <mergeCell ref="G34:G36"/>
    <mergeCell ref="A10:B10"/>
    <mergeCell ref="A13:B13"/>
    <mergeCell ref="A14:B14"/>
    <mergeCell ref="A15:B15"/>
    <mergeCell ref="A16:B16"/>
    <mergeCell ref="A12:B12"/>
    <mergeCell ref="A11:B11"/>
    <mergeCell ref="A60:G60"/>
    <mergeCell ref="A47:B47"/>
    <mergeCell ref="A48:B48"/>
    <mergeCell ref="A50:B50"/>
    <mergeCell ref="E50:H50"/>
    <mergeCell ref="A55:B55"/>
    <mergeCell ref="E48:H48"/>
    <mergeCell ref="A59:B59"/>
    <mergeCell ref="A49:B49"/>
    <mergeCell ref="A58:G58"/>
    <mergeCell ref="A56:B56"/>
    <mergeCell ref="C56:C57"/>
    <mergeCell ref="D56:D57"/>
    <mergeCell ref="E56:E57"/>
    <mergeCell ref="F56:F57"/>
    <mergeCell ref="H56:H57"/>
    <mergeCell ref="A22:B22"/>
    <mergeCell ref="C25:C27"/>
    <mergeCell ref="A31:B31"/>
    <mergeCell ref="E31:E33"/>
    <mergeCell ref="D31:D33"/>
    <mergeCell ref="E28:E30"/>
    <mergeCell ref="A28:B28"/>
    <mergeCell ref="C28:C30"/>
    <mergeCell ref="C31:C33"/>
    <mergeCell ref="D28:D30"/>
    <mergeCell ref="I12:K13"/>
    <mergeCell ref="E25:E27"/>
    <mergeCell ref="A17:B17"/>
    <mergeCell ref="A18:B18"/>
    <mergeCell ref="A19:B19"/>
    <mergeCell ref="C19:C21"/>
    <mergeCell ref="D25:D27"/>
    <mergeCell ref="D22:D24"/>
    <mergeCell ref="A25:B25"/>
    <mergeCell ref="D19:D21"/>
    <mergeCell ref="C22:C24"/>
    <mergeCell ref="H19:H21"/>
    <mergeCell ref="E19:E21"/>
    <mergeCell ref="F19:F21"/>
    <mergeCell ref="G19:G21"/>
    <mergeCell ref="E22:E24"/>
  </mergeCells>
  <phoneticPr fontId="86" type="noConversion"/>
  <dataValidations xWindow="1071" yWindow="702" count="1">
    <dataValidation type="custom" allowBlank="1" showErrorMessage="1" errorTitle="Příliš mnoho desetinných míst!" error="Maximální počet desetinných míst, které můžete zadat je 2!" sqref="C48:C50" xr:uid="{09DCD299-7D1C-46E0-82B7-75E01ED97AFE}">
      <formula1>MOD(C48*100,1)=0</formula1>
    </dataValidation>
  </dataValidations>
  <pageMargins left="0.70866141732283472" right="0.70866141732283472" top="0.78740157480314965" bottom="0.78740157480314965" header="0.31496062992125984" footer="0.31496062992125984"/>
  <pageSetup paperSize="9" scale="50" orientation="landscape" r:id="rId1"/>
  <customProperties>
    <customPr name="EpmWorksheetKeyString_GUID" r:id="rId2"/>
  </customProperties>
  <ignoredErrors>
    <ignoredError sqref="C41:C42" formulaRange="1"/>
    <ignoredError sqref="F12"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6175" r:id="rId5" name="Group Box 31">
              <controlPr defaultSize="0" autoFill="0" autoPict="0">
                <anchor moveWithCells="1">
                  <from>
                    <xdr:col>3</xdr:col>
                    <xdr:colOff>678180</xdr:colOff>
                    <xdr:row>50</xdr:row>
                    <xdr:rowOff>45720</xdr:rowOff>
                  </from>
                  <to>
                    <xdr:col>6</xdr:col>
                    <xdr:colOff>22860</xdr:colOff>
                    <xdr:row>53</xdr:row>
                    <xdr:rowOff>137160</xdr:rowOff>
                  </to>
                </anchor>
              </controlPr>
            </control>
          </mc:Choice>
        </mc:AlternateContent>
        <mc:AlternateContent xmlns:mc="http://schemas.openxmlformats.org/markup-compatibility/2006">
          <mc:Choice Requires="x14">
            <control shapeId="6179" r:id="rId6" name="Option Button 35">
              <controlPr defaultSize="0" autoFill="0" autoLine="0" autoPict="0">
                <anchor moveWithCells="1">
                  <from>
                    <xdr:col>4</xdr:col>
                    <xdr:colOff>251460</xdr:colOff>
                    <xdr:row>50</xdr:row>
                    <xdr:rowOff>99060</xdr:rowOff>
                  </from>
                  <to>
                    <xdr:col>5</xdr:col>
                    <xdr:colOff>563880</xdr:colOff>
                    <xdr:row>51</xdr:row>
                    <xdr:rowOff>160020</xdr:rowOff>
                  </to>
                </anchor>
              </controlPr>
            </control>
          </mc:Choice>
        </mc:AlternateContent>
        <mc:AlternateContent xmlns:mc="http://schemas.openxmlformats.org/markup-compatibility/2006">
          <mc:Choice Requires="x14">
            <control shapeId="6180" r:id="rId7" name="Option Button 36">
              <controlPr defaultSize="0" autoFill="0" autoLine="0" autoPict="0">
                <anchor moveWithCells="1">
                  <from>
                    <xdr:col>4</xdr:col>
                    <xdr:colOff>236220</xdr:colOff>
                    <xdr:row>51</xdr:row>
                    <xdr:rowOff>152400</xdr:rowOff>
                  </from>
                  <to>
                    <xdr:col>5</xdr:col>
                    <xdr:colOff>571500</xdr:colOff>
                    <xdr:row>53</xdr:row>
                    <xdr:rowOff>22860</xdr:rowOff>
                  </to>
                </anchor>
              </controlPr>
            </control>
          </mc:Choice>
        </mc:AlternateContent>
        <mc:AlternateContent xmlns:mc="http://schemas.openxmlformats.org/markup-compatibility/2006">
          <mc:Choice Requires="x14">
            <control shapeId="6183" r:id="rId8" name="Nadlimit_tlac2">
              <controlPr locked="0" defaultSize="0" autoLine="0" autoPict="0">
                <anchor moveWithCells="1">
                  <from>
                    <xdr:col>6</xdr:col>
                    <xdr:colOff>22860</xdr:colOff>
                    <xdr:row>1</xdr:row>
                    <xdr:rowOff>236220</xdr:rowOff>
                  </from>
                  <to>
                    <xdr:col>7</xdr:col>
                    <xdr:colOff>571500</xdr:colOff>
                    <xdr:row>3</xdr:row>
                    <xdr:rowOff>7620</xdr:rowOff>
                  </to>
                </anchor>
              </controlPr>
            </control>
          </mc:Choice>
        </mc:AlternateContent>
        <mc:AlternateContent xmlns:mc="http://schemas.openxmlformats.org/markup-compatibility/2006">
          <mc:Choice Requires="x14">
            <control shapeId="6186" r:id="rId9" name="Drop Down 42">
              <controlPr locked="0" defaultSize="0" autoLine="0" autoPict="0">
                <anchor moveWithCells="1">
                  <from>
                    <xdr:col>1</xdr:col>
                    <xdr:colOff>22860</xdr:colOff>
                    <xdr:row>2</xdr:row>
                    <xdr:rowOff>22860</xdr:rowOff>
                  </from>
                  <to>
                    <xdr:col>1</xdr:col>
                    <xdr:colOff>1013460</xdr:colOff>
                    <xdr:row>3</xdr:row>
                    <xdr:rowOff>30480</xdr:rowOff>
                  </to>
                </anchor>
              </controlPr>
            </control>
          </mc:Choice>
        </mc:AlternateContent>
        <mc:AlternateContent xmlns:mc="http://schemas.openxmlformats.org/markup-compatibility/2006">
          <mc:Choice Requires="x14">
            <control shapeId="6187" r:id="rId10" name="Drop Down 43">
              <controlPr locked="0" defaultSize="0" autoLine="0" autoPict="0">
                <anchor moveWithCells="1">
                  <from>
                    <xdr:col>1</xdr:col>
                    <xdr:colOff>22860</xdr:colOff>
                    <xdr:row>3</xdr:row>
                    <xdr:rowOff>160020</xdr:rowOff>
                  </from>
                  <to>
                    <xdr:col>1</xdr:col>
                    <xdr:colOff>1013460</xdr:colOff>
                    <xdr:row>5</xdr:row>
                    <xdr:rowOff>0</xdr:rowOff>
                  </to>
                </anchor>
              </controlPr>
            </control>
          </mc:Choice>
        </mc:AlternateContent>
        <mc:AlternateContent xmlns:mc="http://schemas.openxmlformats.org/markup-compatibility/2006">
          <mc:Choice Requires="x14">
            <control shapeId="6190" r:id="rId11" name="souc_spot_tlac3">
              <controlPr locked="0" defaultSize="0" autoLine="0" autoPict="0" altText="">
                <anchor moveWithCells="1">
                  <from>
                    <xdr:col>6</xdr:col>
                    <xdr:colOff>7620</xdr:colOff>
                    <xdr:row>4</xdr:row>
                    <xdr:rowOff>182880</xdr:rowOff>
                  </from>
                  <to>
                    <xdr:col>7</xdr:col>
                    <xdr:colOff>563880</xdr:colOff>
                    <xdr:row>6</xdr:row>
                    <xdr:rowOff>0</xdr:rowOff>
                  </to>
                </anchor>
              </controlPr>
            </control>
          </mc:Choice>
        </mc:AlternateContent>
        <mc:AlternateContent xmlns:mc="http://schemas.openxmlformats.org/markup-compatibility/2006">
          <mc:Choice Requires="x14">
            <control shapeId="6207" r:id="rId12" name="Drop Down 63">
              <controlPr locked="0" defaultSize="0" autoLine="0" autoPict="0">
                <anchor moveWithCells="1">
                  <from>
                    <xdr:col>1</xdr:col>
                    <xdr:colOff>22860</xdr:colOff>
                    <xdr:row>6</xdr:row>
                    <xdr:rowOff>22860</xdr:rowOff>
                  </from>
                  <to>
                    <xdr:col>1</xdr:col>
                    <xdr:colOff>1013460</xdr:colOff>
                    <xdr:row>6</xdr:row>
                    <xdr:rowOff>220980</xdr:rowOff>
                  </to>
                </anchor>
              </controlPr>
            </control>
          </mc:Choice>
        </mc:AlternateContent>
        <mc:AlternateContent xmlns:mc="http://schemas.openxmlformats.org/markup-compatibility/2006">
          <mc:Choice Requires="x14">
            <control shapeId="6211" r:id="rId13" name="Drop Down 67">
              <controlPr locked="0" defaultSize="0" autoLine="0" autoPict="0" altText="">
                <anchor moveWithCells="1">
                  <from>
                    <xdr:col>1</xdr:col>
                    <xdr:colOff>7620</xdr:colOff>
                    <xdr:row>7</xdr:row>
                    <xdr:rowOff>30480</xdr:rowOff>
                  </from>
                  <to>
                    <xdr:col>1</xdr:col>
                    <xdr:colOff>2057400</xdr:colOff>
                    <xdr:row>7</xdr:row>
                    <xdr:rowOff>236220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71" yWindow="702" count="8">
        <x14:dataValidation type="list" allowBlank="1" showInputMessage="1" showErrorMessage="1" xr:uid="{4DF1D5A0-BF90-4030-980D-6F13B743C9C6}">
          <x14:formula1>
            <xm:f>'Klasik, CNG, M3R, výrobce'!$E$76:$E$77</xm:f>
          </x14:formula1>
          <xm:sqref>B21</xm:sqref>
        </x14:dataValidation>
        <x14:dataValidation type="list" allowBlank="1" showInputMessage="1" showErrorMessage="1" xr:uid="{F1B7CDD6-98C1-4E99-9A3E-73C719DEC9B5}">
          <x14:formula1>
            <xm:f>'Klasik, CNG, M3R, výrobce'!$F$76:$F$77</xm:f>
          </x14:formula1>
          <xm:sqref>B24</xm:sqref>
        </x14:dataValidation>
        <x14:dataValidation type="list" allowBlank="1" showInputMessage="1" showErrorMessage="1" xr:uid="{C868FC75-6B45-47E5-842C-D8AFD3C9DD17}">
          <x14:formula1>
            <xm:f>'Klasik, CNG, M3R, výrobce'!$G$76:$G$77</xm:f>
          </x14:formula1>
          <xm:sqref>B27</xm:sqref>
        </x14:dataValidation>
        <x14:dataValidation type="list" allowBlank="1" showInputMessage="1" showErrorMessage="1" xr:uid="{D20E5690-93E5-4F36-A588-95C98515656D}">
          <x14:formula1>
            <xm:f>'Klasik, CNG, M3R, výrobce'!$I$76:$I$77</xm:f>
          </x14:formula1>
          <xm:sqref>B33</xm:sqref>
        </x14:dataValidation>
        <x14:dataValidation type="list" allowBlank="1" showInputMessage="1" showErrorMessage="1" xr:uid="{EFA8A962-9E8A-47A3-8503-184F8976A170}">
          <x14:formula1>
            <xm:f>'Klasik, CNG, M3R, výrobce'!$H$76:$H$77</xm:f>
          </x14:formula1>
          <xm:sqref>B30</xm:sqref>
        </x14:dataValidation>
        <x14:dataValidation type="date" allowBlank="1" showInputMessage="1" showErrorMessage="1" errorTitle="Chybný datum" error="Datum začátku klouz.kapacity není v rozmezí pro daný měsíc výpočtu. Může být minimálně od 2.dne předcházejícího měsíce a maximálně do konce měsíce výpočtu." xr:uid="{3A97525C-48B7-4C4B-91CA-D56334E0D2C2}">
          <x14:formula1>
            <xm:f>IF('ovládací prvky'!F13=1,'Klasik, CNG, M3R, výrobce'!$K$60-30,'Klasik, CNG, M3R, výrobce'!E$79)</xm:f>
          </x14:formula1>
          <x14:formula2>
            <xm:f>'Klasik, CNG, M3R, výrobce'!E80</xm:f>
          </x14:formula2>
          <xm:sqref>A21</xm:sqref>
        </x14:dataValidation>
        <x14:dataValidation type="date" allowBlank="1" showInputMessage="1" showErrorMessage="1" xr:uid="{94A4EAF2-83F7-4EB1-B21D-E911F5F5D921}">
          <x14:formula1>
            <xm:f>IF('ovládací prvky'!F13=1,'Klasik, CNG, M3R, výrobce'!$K$60-30,'Klasik, CNG, M3R, výrobce'!F$79)</xm:f>
          </x14:formula1>
          <x14:formula2>
            <xm:f>'Klasik, CNG, M3R, výrobce'!F80+'Klasik, CNG, M3R, výrobce'!F80</xm:f>
          </x14:formula2>
          <xm:sqref>A24 A33 A30 A27</xm:sqref>
        </x14:dataValidation>
        <x14:dataValidation type="date" allowBlank="1" showInputMessage="1" showErrorMessage="1" xr:uid="{13948A62-F4C8-4C62-8B03-17B2B82E6390}">
          <x14:formula1>
            <xm:f>VLOOKUP('ovládací prvky'!F13,'Klasik, CNG, M3R, výrobce'!D60:K71,8,FALSE)</xm:f>
          </x14:formula1>
          <x14:formula2>
            <xm:f>VLOOKUP('ovládací prvky'!F13,'Klasik, CNG, M3R, výrobce'!D60:L71,9,FALSE)</xm:f>
          </x14:formula2>
          <xm:sqref>A36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DE43-5A2B-40EC-A2E4-0CF4CE067416}">
  <sheetPr codeName="List3">
    <tabColor theme="6" tint="0.59999389629810485"/>
  </sheetPr>
  <dimension ref="A1:S35"/>
  <sheetViews>
    <sheetView topLeftCell="E6" workbookViewId="0">
      <selection activeCell="V10" sqref="V10"/>
    </sheetView>
  </sheetViews>
  <sheetFormatPr defaultColWidth="8.88671875" defaultRowHeight="14.4" zeroHeight="1" x14ac:dyDescent="0.3"/>
  <cols>
    <col min="1" max="4" width="9.109375" style="502" hidden="1" customWidth="1"/>
    <col min="5" max="5" width="9.109375" style="502" customWidth="1"/>
    <col min="6" max="6" width="12" style="502" customWidth="1"/>
    <col min="7" max="7" width="11.44140625" style="502" customWidth="1"/>
    <col min="8" max="10" width="11.33203125" style="502" customWidth="1"/>
    <col min="11" max="11" width="11.5546875" style="502" customWidth="1"/>
    <col min="12" max="13" width="8.88671875" style="502" hidden="1" customWidth="1"/>
    <col min="14" max="19" width="12.6640625" style="502" hidden="1" customWidth="1"/>
    <col min="20" max="16384" width="8.88671875" style="502"/>
  </cols>
  <sheetData>
    <row r="1" spans="1:19" hidden="1" x14ac:dyDescent="0.3">
      <c r="A1" s="500" t="s">
        <v>145</v>
      </c>
      <c r="B1" s="501" t="s">
        <v>469</v>
      </c>
      <c r="F1" s="512" t="s">
        <v>394</v>
      </c>
    </row>
    <row r="3" spans="1:19" ht="18" hidden="1" x14ac:dyDescent="0.35">
      <c r="F3" s="667" t="s">
        <v>395</v>
      </c>
      <c r="G3" s="667"/>
      <c r="H3" s="667"/>
      <c r="I3" s="667"/>
      <c r="J3" s="667"/>
      <c r="K3" s="667"/>
      <c r="N3" s="667" t="s">
        <v>396</v>
      </c>
      <c r="O3" s="667"/>
      <c r="P3" s="667"/>
      <c r="Q3" s="667"/>
      <c r="R3" s="513"/>
      <c r="S3" s="513"/>
    </row>
    <row r="5" spans="1:19" hidden="1" x14ac:dyDescent="0.3">
      <c r="F5" s="514" t="s">
        <v>397</v>
      </c>
      <c r="G5" s="515"/>
      <c r="H5" s="515"/>
      <c r="I5" s="515"/>
      <c r="J5" s="515"/>
      <c r="N5" s="514" t="s">
        <v>398</v>
      </c>
    </row>
    <row r="6" spans="1:19" x14ac:dyDescent="0.3">
      <c r="F6" s="514" t="s">
        <v>476</v>
      </c>
      <c r="G6" s="516"/>
      <c r="H6" s="516"/>
      <c r="I6" s="516"/>
      <c r="J6" s="516"/>
    </row>
    <row r="7" spans="1:19" ht="43.2" x14ac:dyDescent="0.3">
      <c r="A7" s="503" t="s">
        <v>278</v>
      </c>
      <c r="B7" s="504">
        <f>'Klasik, CNG, M3R, výrobce'!D43-1</f>
        <v>44561</v>
      </c>
      <c r="C7" s="503"/>
      <c r="G7" s="515"/>
      <c r="H7" s="516"/>
      <c r="I7" s="516"/>
      <c r="J7" s="516"/>
    </row>
    <row r="8" spans="1:19" ht="49.2" thickBot="1" x14ac:dyDescent="0.35">
      <c r="A8" s="505" t="s">
        <v>279</v>
      </c>
      <c r="B8" s="506" t="s">
        <v>280</v>
      </c>
      <c r="C8" s="506" t="s">
        <v>281</v>
      </c>
      <c r="F8" s="517" t="s">
        <v>399</v>
      </c>
      <c r="G8" s="517" t="s">
        <v>400</v>
      </c>
      <c r="H8" s="517" t="s">
        <v>475</v>
      </c>
      <c r="I8" s="517" t="s">
        <v>401</v>
      </c>
      <c r="J8" s="517" t="s">
        <v>402</v>
      </c>
      <c r="N8" s="518" t="s">
        <v>399</v>
      </c>
      <c r="O8" s="519" t="s">
        <v>400</v>
      </c>
      <c r="P8" s="520" t="s">
        <v>403</v>
      </c>
      <c r="Q8" s="521"/>
    </row>
    <row r="9" spans="1:19" x14ac:dyDescent="0.3">
      <c r="A9" s="505">
        <v>1</v>
      </c>
      <c r="B9" s="507" t="s">
        <v>155</v>
      </c>
      <c r="C9" s="508">
        <f>DAY(EOMONTH(DATE(YEAR(B7),$A9,1),0))</f>
        <v>31</v>
      </c>
      <c r="F9" s="522">
        <f>G9-$C9+1</f>
        <v>44197</v>
      </c>
      <c r="G9" s="522">
        <f>EOMONTH(DATE(YEAR($B$7),$A9,1),0)</f>
        <v>44227</v>
      </c>
      <c r="H9" s="575">
        <v>0</v>
      </c>
      <c r="I9" s="524">
        <f>C9</f>
        <v>31</v>
      </c>
      <c r="J9" s="524">
        <f>(H9/21)*(31/I9)</f>
        <v>0</v>
      </c>
      <c r="N9" s="525">
        <f>F9</f>
        <v>44197</v>
      </c>
      <c r="O9" s="525">
        <f>G9</f>
        <v>44227</v>
      </c>
      <c r="P9" s="523">
        <v>7215</v>
      </c>
    </row>
    <row r="10" spans="1:19" x14ac:dyDescent="0.3">
      <c r="A10" s="505">
        <v>2</v>
      </c>
      <c r="B10" s="507" t="s">
        <v>157</v>
      </c>
      <c r="C10" s="508">
        <f>DAY(EOMONTH(DATE(YEAR(B7),$A10,1),0))</f>
        <v>28</v>
      </c>
      <c r="F10" s="522">
        <f t="shared" ref="F10:F20" si="0">G10-$C10+1</f>
        <v>44228</v>
      </c>
      <c r="G10" s="522">
        <f t="shared" ref="G10:G20" si="1">EOMONTH(DATE(YEAR($B$7),$A10,1),0)</f>
        <v>44255</v>
      </c>
      <c r="H10" s="575">
        <v>0</v>
      </c>
      <c r="I10" s="524">
        <f t="shared" ref="I10:I20" si="2">C10</f>
        <v>28</v>
      </c>
      <c r="J10" s="524">
        <f t="shared" ref="J10:J20" si="3">(H10/21)*(31/I10)</f>
        <v>0</v>
      </c>
      <c r="N10" s="525">
        <f t="shared" ref="N10:O20" si="4">F10</f>
        <v>44228</v>
      </c>
      <c r="O10" s="525">
        <f t="shared" si="4"/>
        <v>44255</v>
      </c>
      <c r="P10" s="523">
        <v>10333</v>
      </c>
    </row>
    <row r="11" spans="1:19" x14ac:dyDescent="0.3">
      <c r="A11" s="505">
        <v>3</v>
      </c>
      <c r="B11" s="507" t="s">
        <v>159</v>
      </c>
      <c r="C11" s="508">
        <f>DAY(EOMONTH(DATE(YEAR(B7),$A11,1),0))</f>
        <v>31</v>
      </c>
      <c r="F11" s="522">
        <f t="shared" si="0"/>
        <v>44256</v>
      </c>
      <c r="G11" s="522">
        <f t="shared" si="1"/>
        <v>44286</v>
      </c>
      <c r="H11" s="575">
        <v>0</v>
      </c>
      <c r="I11" s="524">
        <f t="shared" si="2"/>
        <v>31</v>
      </c>
      <c r="J11" s="524">
        <f t="shared" si="3"/>
        <v>0</v>
      </c>
      <c r="N11" s="525">
        <f t="shared" si="4"/>
        <v>44256</v>
      </c>
      <c r="O11" s="525">
        <f t="shared" si="4"/>
        <v>44286</v>
      </c>
      <c r="P11" s="523">
        <v>8112</v>
      </c>
    </row>
    <row r="12" spans="1:19" x14ac:dyDescent="0.3">
      <c r="A12" s="505">
        <v>4</v>
      </c>
      <c r="B12" s="507" t="s">
        <v>165</v>
      </c>
      <c r="C12" s="508">
        <f>DAY(EOMONTH(DATE(YEAR(B7),$A12,1),0))</f>
        <v>30</v>
      </c>
      <c r="F12" s="522">
        <f t="shared" si="0"/>
        <v>44287</v>
      </c>
      <c r="G12" s="522">
        <f t="shared" si="1"/>
        <v>44316</v>
      </c>
      <c r="H12" s="575">
        <v>0</v>
      </c>
      <c r="I12" s="524">
        <f t="shared" si="2"/>
        <v>30</v>
      </c>
      <c r="J12" s="524">
        <f t="shared" si="3"/>
        <v>0</v>
      </c>
      <c r="N12" s="525">
        <f t="shared" si="4"/>
        <v>44287</v>
      </c>
      <c r="O12" s="525">
        <f t="shared" si="4"/>
        <v>44316</v>
      </c>
      <c r="P12" s="523">
        <v>1621</v>
      </c>
    </row>
    <row r="13" spans="1:19" x14ac:dyDescent="0.3">
      <c r="A13" s="505">
        <v>5</v>
      </c>
      <c r="B13" s="507" t="s">
        <v>169</v>
      </c>
      <c r="C13" s="508">
        <f>DAY(EOMONTH(DATE(YEAR(B7),$A13,1),0))</f>
        <v>31</v>
      </c>
      <c r="F13" s="522">
        <f t="shared" si="0"/>
        <v>44317</v>
      </c>
      <c r="G13" s="522">
        <f t="shared" si="1"/>
        <v>44347</v>
      </c>
      <c r="H13" s="575">
        <v>0</v>
      </c>
      <c r="I13" s="524">
        <f t="shared" si="2"/>
        <v>31</v>
      </c>
      <c r="J13" s="524">
        <f t="shared" si="3"/>
        <v>0</v>
      </c>
      <c r="N13" s="525">
        <f t="shared" si="4"/>
        <v>44317</v>
      </c>
      <c r="O13" s="525">
        <f t="shared" si="4"/>
        <v>44347</v>
      </c>
      <c r="P13" s="523">
        <v>576</v>
      </c>
    </row>
    <row r="14" spans="1:19" x14ac:dyDescent="0.3">
      <c r="A14" s="505">
        <v>6</v>
      </c>
      <c r="B14" s="507" t="s">
        <v>189</v>
      </c>
      <c r="C14" s="508">
        <f>DAY(EOMONTH(DATE(YEAR(B7),$A14,1),0))</f>
        <v>30</v>
      </c>
      <c r="F14" s="522">
        <f t="shared" si="0"/>
        <v>44348</v>
      </c>
      <c r="G14" s="522">
        <f t="shared" si="1"/>
        <v>44377</v>
      </c>
      <c r="H14" s="575">
        <v>0</v>
      </c>
      <c r="I14" s="524">
        <f t="shared" si="2"/>
        <v>30</v>
      </c>
      <c r="J14" s="524">
        <f t="shared" si="3"/>
        <v>0</v>
      </c>
      <c r="N14" s="525">
        <f t="shared" si="4"/>
        <v>44348</v>
      </c>
      <c r="O14" s="525">
        <f t="shared" si="4"/>
        <v>44377</v>
      </c>
      <c r="P14" s="523">
        <v>550</v>
      </c>
    </row>
    <row r="15" spans="1:19" x14ac:dyDescent="0.3">
      <c r="A15" s="505">
        <v>7</v>
      </c>
      <c r="B15" s="507" t="s">
        <v>192</v>
      </c>
      <c r="C15" s="508">
        <f>DAY(EOMONTH(DATE(YEAR(B7),$A15,1),0))</f>
        <v>31</v>
      </c>
      <c r="F15" s="522">
        <f t="shared" si="0"/>
        <v>44378</v>
      </c>
      <c r="G15" s="522">
        <f t="shared" si="1"/>
        <v>44408</v>
      </c>
      <c r="H15" s="575">
        <v>0</v>
      </c>
      <c r="I15" s="524">
        <f t="shared" si="2"/>
        <v>31</v>
      </c>
      <c r="J15" s="524">
        <f t="shared" si="3"/>
        <v>0</v>
      </c>
      <c r="N15" s="525">
        <f t="shared" si="4"/>
        <v>44378</v>
      </c>
      <c r="O15" s="525">
        <f t="shared" si="4"/>
        <v>44408</v>
      </c>
      <c r="P15" s="523">
        <v>415</v>
      </c>
    </row>
    <row r="16" spans="1:19" x14ac:dyDescent="0.3">
      <c r="A16" s="505">
        <v>8</v>
      </c>
      <c r="B16" s="507" t="s">
        <v>195</v>
      </c>
      <c r="C16" s="508">
        <f>DAY(EOMONTH(DATE(YEAR(B7),$A16,1),0))</f>
        <v>31</v>
      </c>
      <c r="F16" s="522">
        <f t="shared" si="0"/>
        <v>44409</v>
      </c>
      <c r="G16" s="522">
        <f t="shared" si="1"/>
        <v>44439</v>
      </c>
      <c r="H16" s="575">
        <v>0</v>
      </c>
      <c r="I16" s="524">
        <f t="shared" si="2"/>
        <v>31</v>
      </c>
      <c r="J16" s="524">
        <f t="shared" si="3"/>
        <v>0</v>
      </c>
      <c r="N16" s="525">
        <f t="shared" si="4"/>
        <v>44409</v>
      </c>
      <c r="O16" s="525">
        <f t="shared" si="4"/>
        <v>44439</v>
      </c>
      <c r="P16" s="523">
        <v>363</v>
      </c>
    </row>
    <row r="17" spans="1:16" x14ac:dyDescent="0.3">
      <c r="A17" s="505">
        <v>9</v>
      </c>
      <c r="B17" s="507" t="s">
        <v>198</v>
      </c>
      <c r="C17" s="508">
        <f>DAY(EOMONTH(DATE(YEAR(B7),$A17,1),0))</f>
        <v>30</v>
      </c>
      <c r="F17" s="522">
        <f t="shared" si="0"/>
        <v>44440</v>
      </c>
      <c r="G17" s="522">
        <f t="shared" si="1"/>
        <v>44469</v>
      </c>
      <c r="H17" s="575">
        <v>0</v>
      </c>
      <c r="I17" s="524">
        <f t="shared" si="2"/>
        <v>30</v>
      </c>
      <c r="J17" s="524">
        <f t="shared" si="3"/>
        <v>0</v>
      </c>
      <c r="N17" s="525">
        <f t="shared" si="4"/>
        <v>44440</v>
      </c>
      <c r="O17" s="525">
        <f t="shared" si="4"/>
        <v>44469</v>
      </c>
      <c r="P17" s="523">
        <v>673</v>
      </c>
    </row>
    <row r="18" spans="1:16" x14ac:dyDescent="0.3">
      <c r="A18" s="505">
        <v>10</v>
      </c>
      <c r="B18" s="507" t="s">
        <v>201</v>
      </c>
      <c r="C18" s="508">
        <f>DAY(EOMONTH(DATE(YEAR(B7),$A18,1),0))</f>
        <v>31</v>
      </c>
      <c r="F18" s="522">
        <f t="shared" si="0"/>
        <v>44470</v>
      </c>
      <c r="G18" s="522">
        <f t="shared" si="1"/>
        <v>44500</v>
      </c>
      <c r="H18" s="575">
        <v>0</v>
      </c>
      <c r="I18" s="524">
        <f t="shared" si="2"/>
        <v>31</v>
      </c>
      <c r="J18" s="524">
        <f t="shared" si="3"/>
        <v>0</v>
      </c>
      <c r="N18" s="525">
        <f t="shared" si="4"/>
        <v>44470</v>
      </c>
      <c r="O18" s="525">
        <f t="shared" si="4"/>
        <v>44500</v>
      </c>
      <c r="P18" s="523">
        <v>2081</v>
      </c>
    </row>
    <row r="19" spans="1:16" x14ac:dyDescent="0.3">
      <c r="A19" s="505">
        <v>11</v>
      </c>
      <c r="B19" s="507" t="s">
        <v>204</v>
      </c>
      <c r="C19" s="508">
        <f>DAY(EOMONTH(DATE(YEAR(B7),$A19,1),0))</f>
        <v>30</v>
      </c>
      <c r="F19" s="522">
        <f t="shared" si="0"/>
        <v>44501</v>
      </c>
      <c r="G19" s="522">
        <f t="shared" si="1"/>
        <v>44530</v>
      </c>
      <c r="H19" s="575">
        <v>0</v>
      </c>
      <c r="I19" s="524">
        <f t="shared" si="2"/>
        <v>30</v>
      </c>
      <c r="J19" s="524">
        <f t="shared" si="3"/>
        <v>0</v>
      </c>
      <c r="N19" s="525">
        <f t="shared" si="4"/>
        <v>44501</v>
      </c>
      <c r="O19" s="525">
        <f t="shared" si="4"/>
        <v>44530</v>
      </c>
      <c r="P19" s="523">
        <v>5311</v>
      </c>
    </row>
    <row r="20" spans="1:16" x14ac:dyDescent="0.3">
      <c r="A20" s="505">
        <v>12</v>
      </c>
      <c r="B20" s="507" t="s">
        <v>207</v>
      </c>
      <c r="C20" s="508">
        <f>DAY(EOMONTH(DATE(YEAR(B7),$A20,1),0))</f>
        <v>31</v>
      </c>
      <c r="F20" s="522">
        <f t="shared" si="0"/>
        <v>44531</v>
      </c>
      <c r="G20" s="522">
        <f t="shared" si="1"/>
        <v>44561</v>
      </c>
      <c r="H20" s="575">
        <v>0</v>
      </c>
      <c r="I20" s="524">
        <f t="shared" si="2"/>
        <v>31</v>
      </c>
      <c r="J20" s="524">
        <f t="shared" si="3"/>
        <v>0</v>
      </c>
      <c r="N20" s="525">
        <f t="shared" si="4"/>
        <v>44531</v>
      </c>
      <c r="O20" s="525">
        <f t="shared" si="4"/>
        <v>44561</v>
      </c>
      <c r="P20" s="523">
        <v>6868</v>
      </c>
    </row>
    <row r="21" spans="1:16" x14ac:dyDescent="0.3">
      <c r="A21" s="503"/>
      <c r="B21" s="503"/>
      <c r="C21" s="509">
        <f>SUM(C9:C20)</f>
        <v>365</v>
      </c>
      <c r="F21" s="515"/>
      <c r="G21" s="515"/>
      <c r="H21" s="526"/>
      <c r="I21" s="515"/>
      <c r="J21" s="515"/>
      <c r="N21" s="521"/>
      <c r="O21" s="521"/>
      <c r="P21" s="527">
        <f>SUM(P9:P20)</f>
        <v>44118</v>
      </c>
    </row>
    <row r="22" spans="1:16" ht="28.8" x14ac:dyDescent="0.3">
      <c r="G22" s="515"/>
      <c r="I22" s="528" t="s">
        <v>404</v>
      </c>
      <c r="J22" s="529">
        <f>ROUND(MAX(J9:J20),2)</f>
        <v>0</v>
      </c>
      <c r="N22" s="521"/>
      <c r="O22" s="528" t="s">
        <v>404</v>
      </c>
      <c r="P22" s="530">
        <f>FLOOR(P21/115,1)</f>
        <v>383</v>
      </c>
    </row>
    <row r="23" spans="1:16" x14ac:dyDescent="0.3">
      <c r="F23" s="515"/>
    </row>
    <row r="24" spans="1:16" hidden="1" x14ac:dyDescent="0.3">
      <c r="F24" s="668" t="s">
        <v>405</v>
      </c>
      <c r="G24" s="668"/>
      <c r="H24" s="531"/>
      <c r="I24" s="531"/>
      <c r="N24" s="668" t="s">
        <v>405</v>
      </c>
      <c r="O24" s="668"/>
    </row>
    <row r="25" spans="1:16" hidden="1" x14ac:dyDescent="0.3">
      <c r="F25" s="532" t="s">
        <v>406</v>
      </c>
      <c r="G25" s="531">
        <v>3240029165</v>
      </c>
      <c r="H25" s="531" t="s">
        <v>338</v>
      </c>
      <c r="I25" s="533" t="s">
        <v>407</v>
      </c>
      <c r="N25" s="502" t="s">
        <v>408</v>
      </c>
      <c r="O25" s="531">
        <v>6246000023</v>
      </c>
    </row>
    <row r="26" spans="1:16" hidden="1" x14ac:dyDescent="0.3">
      <c r="F26" s="534" t="s">
        <v>409</v>
      </c>
      <c r="G26" s="535">
        <v>119001898952</v>
      </c>
      <c r="H26" s="531"/>
      <c r="I26" s="531"/>
      <c r="N26" s="502" t="s">
        <v>410</v>
      </c>
      <c r="O26" s="535">
        <v>110001540357</v>
      </c>
    </row>
    <row r="27" spans="1:16" hidden="1" x14ac:dyDescent="0.3">
      <c r="F27" s="531"/>
      <c r="G27" s="531"/>
      <c r="H27" s="531"/>
      <c r="I27" s="531"/>
    </row>
    <row r="28" spans="1:16" hidden="1" x14ac:dyDescent="0.3">
      <c r="F28" s="534" t="s">
        <v>411</v>
      </c>
      <c r="G28" s="536">
        <v>3240001385</v>
      </c>
      <c r="H28" s="531"/>
      <c r="I28" s="531"/>
    </row>
    <row r="29" spans="1:16" hidden="1" x14ac:dyDescent="0.3">
      <c r="F29" s="534" t="s">
        <v>410</v>
      </c>
      <c r="G29" s="537">
        <v>113004696659</v>
      </c>
      <c r="H29" s="531"/>
      <c r="I29" s="531"/>
    </row>
    <row r="32" spans="1:16" x14ac:dyDescent="0.3"/>
    <row r="33" x14ac:dyDescent="0.3"/>
    <row r="34" x14ac:dyDescent="0.3"/>
    <row r="35" x14ac:dyDescent="0.3"/>
  </sheetData>
  <sheetProtection algorithmName="SHA-512" hashValue="B1g5jEZK5uTLNo+PPTJmleP0/0ybY7q7y0srQpe3preL65cXWmleJCYjvujmaEyPLKp0YtdTp1ijBKS5OMe55w==" saltValue="3Ld6STx3q4/3r0UzIa8okA==" spinCount="100000" sheet="1" objects="1" scenarios="1"/>
  <mergeCells count="4">
    <mergeCell ref="F3:K3"/>
    <mergeCell ref="N3:Q3"/>
    <mergeCell ref="F24:G24"/>
    <mergeCell ref="N24:O24"/>
  </mergeCells>
  <pageMargins left="0.7" right="0.7" top="0.78740157499999996" bottom="0.78740157499999996" header="0.3" footer="0.3"/>
  <pageSetup paperSize="9" orientation="portrait" r:id="rId1"/>
  <customProperties>
    <customPr name="EpmWorksheetKeyString_GUID" r:id="rId2"/>
  </customProperties>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742DB-CA6D-4179-AC29-A0D67D81BDFF}">
  <sheetPr codeName="List2"/>
  <dimension ref="A1:N50"/>
  <sheetViews>
    <sheetView workbookViewId="0">
      <selection activeCell="F28" sqref="F28"/>
    </sheetView>
  </sheetViews>
  <sheetFormatPr defaultColWidth="8.88671875" defaultRowHeight="14.4" x14ac:dyDescent="0.3"/>
  <cols>
    <col min="1" max="1" width="10.109375" style="778" bestFit="1" customWidth="1"/>
    <col min="2" max="2" width="28.6640625" style="778" customWidth="1"/>
    <col min="3" max="3" width="8.88671875" style="778"/>
    <col min="4" max="4" width="13" style="778" customWidth="1"/>
    <col min="5" max="5" width="8.88671875" style="778"/>
    <col min="6" max="7" width="12.5546875" style="778" bestFit="1" customWidth="1"/>
    <col min="8" max="8" width="8.88671875" style="778"/>
    <col min="9" max="9" width="42.6640625" style="778" bestFit="1" customWidth="1"/>
    <col min="10" max="10" width="34" style="778" bestFit="1" customWidth="1"/>
    <col min="11" max="11" width="8.88671875" style="778"/>
    <col min="12" max="12" width="12.109375" style="778" bestFit="1" customWidth="1"/>
    <col min="13" max="16384" width="8.88671875" style="778"/>
  </cols>
  <sheetData>
    <row r="1" spans="1:14" x14ac:dyDescent="0.3">
      <c r="J1" s="779" t="s">
        <v>122</v>
      </c>
    </row>
    <row r="2" spans="1:14" x14ac:dyDescent="0.3">
      <c r="B2" s="430" t="s">
        <v>414</v>
      </c>
      <c r="C2" s="431" t="s">
        <v>412</v>
      </c>
      <c r="D2" s="780">
        <v>1</v>
      </c>
      <c r="E2" s="797">
        <v>2</v>
      </c>
      <c r="G2" s="778" t="s">
        <v>153</v>
      </c>
      <c r="H2" s="797">
        <v>2</v>
      </c>
      <c r="J2" s="797">
        <v>1</v>
      </c>
      <c r="K2" s="781">
        <v>1</v>
      </c>
      <c r="L2" s="778" t="s">
        <v>134</v>
      </c>
      <c r="M2" s="778" t="s">
        <v>152</v>
      </c>
    </row>
    <row r="3" spans="1:14" x14ac:dyDescent="0.3">
      <c r="B3" s="431"/>
      <c r="C3" s="431" t="s">
        <v>171</v>
      </c>
      <c r="D3" s="432">
        <v>2</v>
      </c>
      <c r="G3" s="429" t="s">
        <v>418</v>
      </c>
      <c r="H3" s="778">
        <v>1</v>
      </c>
      <c r="I3" s="778" t="s">
        <v>292</v>
      </c>
      <c r="K3" s="781">
        <v>2</v>
      </c>
      <c r="L3" s="778" t="s">
        <v>291</v>
      </c>
      <c r="M3" s="778" t="s">
        <v>256</v>
      </c>
      <c r="N3" s="778" t="s">
        <v>416</v>
      </c>
    </row>
    <row r="4" spans="1:14" x14ac:dyDescent="0.3">
      <c r="G4" s="429" t="s">
        <v>419</v>
      </c>
      <c r="H4" s="778">
        <v>2</v>
      </c>
      <c r="I4" s="778" t="s">
        <v>154</v>
      </c>
    </row>
    <row r="5" spans="1:14" x14ac:dyDescent="0.3">
      <c r="D5" s="778" t="s">
        <v>473</v>
      </c>
      <c r="L5" s="433"/>
    </row>
    <row r="6" spans="1:14" x14ac:dyDescent="0.3">
      <c r="B6" s="430" t="s">
        <v>463</v>
      </c>
      <c r="C6" s="798">
        <v>1</v>
      </c>
      <c r="L6" s="433"/>
    </row>
    <row r="7" spans="1:14" x14ac:dyDescent="0.3">
      <c r="B7" s="782" t="s">
        <v>467</v>
      </c>
      <c r="C7" s="778">
        <v>1</v>
      </c>
      <c r="F7" s="783" t="s">
        <v>481</v>
      </c>
      <c r="L7" s="433"/>
    </row>
    <row r="8" spans="1:14" x14ac:dyDescent="0.3">
      <c r="B8" s="782" t="s">
        <v>464</v>
      </c>
      <c r="C8" s="778">
        <v>2</v>
      </c>
      <c r="L8" s="433"/>
    </row>
    <row r="9" spans="1:14" ht="84.6" customHeight="1" x14ac:dyDescent="0.3">
      <c r="B9" s="782" t="s">
        <v>466</v>
      </c>
      <c r="C9" s="778">
        <v>3</v>
      </c>
      <c r="D9" s="784" t="s">
        <v>472</v>
      </c>
      <c r="E9" s="785" t="s">
        <v>479</v>
      </c>
      <c r="F9" s="785"/>
      <c r="G9" s="785"/>
      <c r="H9" s="785"/>
      <c r="I9" s="785"/>
      <c r="L9" s="433"/>
    </row>
    <row r="10" spans="1:14" ht="27" x14ac:dyDescent="0.3">
      <c r="B10" s="786" t="s">
        <v>465</v>
      </c>
      <c r="C10" s="778">
        <v>4</v>
      </c>
      <c r="D10" s="787" t="s">
        <v>481</v>
      </c>
      <c r="E10" s="787"/>
      <c r="F10" s="787"/>
      <c r="G10" s="787"/>
      <c r="H10" s="787"/>
      <c r="I10" s="787"/>
      <c r="L10" s="433"/>
    </row>
    <row r="11" spans="1:14" x14ac:dyDescent="0.3">
      <c r="B11" s="786" t="s">
        <v>474</v>
      </c>
      <c r="C11" s="778">
        <v>5</v>
      </c>
      <c r="L11" s="433"/>
    </row>
    <row r="12" spans="1:14" x14ac:dyDescent="0.3">
      <c r="L12" s="433"/>
    </row>
    <row r="13" spans="1:14" ht="43.2" x14ac:dyDescent="0.3">
      <c r="A13" s="788">
        <f>'Klasik, CNG, M3R, výrobce'!D43</f>
        <v>44562</v>
      </c>
      <c r="B13" s="789" t="s">
        <v>279</v>
      </c>
      <c r="C13" s="790" t="s">
        <v>280</v>
      </c>
      <c r="D13" s="790" t="s">
        <v>281</v>
      </c>
      <c r="E13" s="791" t="s">
        <v>415</v>
      </c>
      <c r="F13" s="797">
        <v>1</v>
      </c>
      <c r="I13" s="779" t="s">
        <v>421</v>
      </c>
      <c r="J13" s="779" t="s">
        <v>420</v>
      </c>
      <c r="K13" s="799">
        <v>1</v>
      </c>
      <c r="L13" s="791" t="s">
        <v>439</v>
      </c>
    </row>
    <row r="14" spans="1:14" x14ac:dyDescent="0.3">
      <c r="B14" s="789">
        <v>1</v>
      </c>
      <c r="C14" s="792" t="s">
        <v>448</v>
      </c>
      <c r="D14" s="793">
        <f>DAY(EOMONTH(DATE(YEAR($A$13),$B14,1),0))</f>
        <v>31</v>
      </c>
      <c r="H14" s="778">
        <v>1</v>
      </c>
      <c r="I14" s="435" t="s">
        <v>417</v>
      </c>
      <c r="J14" s="429" t="str">
        <f>IF(E2=2,I14,"")</f>
        <v>&lt;= 500 000 MWh</v>
      </c>
      <c r="K14" s="778" t="s">
        <v>432</v>
      </c>
      <c r="L14" s="778" t="str">
        <f>IF(AND(H14=$K$13,J14=I14),"OK","nevybrána výše rozmezí nadlimitu")</f>
        <v>OK</v>
      </c>
    </row>
    <row r="15" spans="1:14" x14ac:dyDescent="0.3">
      <c r="B15" s="789">
        <v>2</v>
      </c>
      <c r="C15" s="792" t="s">
        <v>449</v>
      </c>
      <c r="D15" s="793">
        <f t="shared" ref="D15:D25" si="0">DAY(EOMONTH(DATE(YEAR($A$13),$B15,1),0))</f>
        <v>28</v>
      </c>
      <c r="H15" s="778">
        <v>2</v>
      </c>
      <c r="I15" s="435" t="s">
        <v>262</v>
      </c>
      <c r="J15" s="429" t="str">
        <f>IF(AND(E2=1,H2=1),I15,"")</f>
        <v/>
      </c>
      <c r="K15" s="778" t="s">
        <v>430</v>
      </c>
      <c r="L15" s="778" t="str">
        <f t="shared" ref="L15:L17" si="1">IF(AND(H15=$K$13,J15=I15),"OK","nevybrána výše rozmezí nadlimitu")</f>
        <v>nevybrána výše rozmezí nadlimitu</v>
      </c>
    </row>
    <row r="16" spans="1:14" x14ac:dyDescent="0.3">
      <c r="B16" s="789">
        <v>3</v>
      </c>
      <c r="C16" s="792" t="s">
        <v>450</v>
      </c>
      <c r="D16" s="793">
        <f t="shared" si="0"/>
        <v>31</v>
      </c>
      <c r="H16" s="778">
        <v>3</v>
      </c>
      <c r="I16" s="435" t="s">
        <v>141</v>
      </c>
      <c r="J16" s="429" t="str">
        <f>IF(H2=1,"",IF(AND(E2=1,H2=2),I16,""))</f>
        <v/>
      </c>
      <c r="K16" s="778" t="s">
        <v>431</v>
      </c>
      <c r="L16" s="778" t="str">
        <f t="shared" si="1"/>
        <v>nevybrána výše rozmezí nadlimitu</v>
      </c>
    </row>
    <row r="17" spans="1:12" x14ac:dyDescent="0.3">
      <c r="B17" s="789">
        <v>4</v>
      </c>
      <c r="C17" s="792" t="s">
        <v>451</v>
      </c>
      <c r="D17" s="793">
        <f t="shared" si="0"/>
        <v>30</v>
      </c>
      <c r="H17" s="778">
        <v>4</v>
      </c>
      <c r="I17" s="435" t="s">
        <v>263</v>
      </c>
      <c r="J17" s="429" t="str">
        <f>IF(H2=1,"",IF(AND(E2=1,H2=2),I17,""))</f>
        <v/>
      </c>
      <c r="K17" s="778" t="s">
        <v>431</v>
      </c>
      <c r="L17" s="778" t="str">
        <f t="shared" si="1"/>
        <v>nevybrána výše rozmezí nadlimitu</v>
      </c>
    </row>
    <row r="18" spans="1:12" x14ac:dyDescent="0.3">
      <c r="B18" s="789">
        <v>5</v>
      </c>
      <c r="C18" s="792" t="s">
        <v>452</v>
      </c>
      <c r="D18" s="793">
        <f t="shared" si="0"/>
        <v>31</v>
      </c>
      <c r="H18" s="778">
        <v>5</v>
      </c>
      <c r="I18" s="435" t="s">
        <v>265</v>
      </c>
      <c r="J18" s="429" t="str">
        <f>IF(H2=1,"",IF(AND(E2=1,H2=2),I18,""))</f>
        <v/>
      </c>
      <c r="K18" s="778" t="s">
        <v>431</v>
      </c>
      <c r="L18" s="778" t="str">
        <f>IF(AND(H18=$K$13,J18=I18),"OK","nevybrána výše rozmezí nadlimitu")</f>
        <v>nevybrána výše rozmezí nadlimitu</v>
      </c>
    </row>
    <row r="19" spans="1:12" x14ac:dyDescent="0.3">
      <c r="B19" s="789">
        <v>6</v>
      </c>
      <c r="C19" s="792" t="s">
        <v>453</v>
      </c>
      <c r="D19" s="793">
        <f t="shared" si="0"/>
        <v>30</v>
      </c>
    </row>
    <row r="20" spans="1:12" x14ac:dyDescent="0.3">
      <c r="B20" s="789">
        <v>7</v>
      </c>
      <c r="C20" s="792" t="s">
        <v>454</v>
      </c>
      <c r="D20" s="793">
        <f t="shared" si="0"/>
        <v>31</v>
      </c>
    </row>
    <row r="21" spans="1:12" x14ac:dyDescent="0.3">
      <c r="B21" s="789">
        <v>8</v>
      </c>
      <c r="C21" s="792" t="s">
        <v>455</v>
      </c>
      <c r="D21" s="793">
        <f t="shared" si="0"/>
        <v>31</v>
      </c>
    </row>
    <row r="22" spans="1:12" x14ac:dyDescent="0.3">
      <c r="B22" s="789">
        <v>9</v>
      </c>
      <c r="C22" s="792" t="s">
        <v>456</v>
      </c>
      <c r="D22" s="793">
        <f t="shared" si="0"/>
        <v>30</v>
      </c>
    </row>
    <row r="23" spans="1:12" x14ac:dyDescent="0.3">
      <c r="B23" s="789">
        <v>10</v>
      </c>
      <c r="C23" s="792" t="s">
        <v>457</v>
      </c>
      <c r="D23" s="793">
        <f t="shared" si="0"/>
        <v>31</v>
      </c>
    </row>
    <row r="24" spans="1:12" x14ac:dyDescent="0.3">
      <c r="B24" s="789">
        <v>11</v>
      </c>
      <c r="C24" s="792" t="s">
        <v>459</v>
      </c>
      <c r="D24" s="793">
        <f t="shared" si="0"/>
        <v>30</v>
      </c>
    </row>
    <row r="25" spans="1:12" x14ac:dyDescent="0.3">
      <c r="B25" s="789">
        <v>12</v>
      </c>
      <c r="C25" s="792" t="s">
        <v>458</v>
      </c>
      <c r="D25" s="793">
        <f t="shared" si="0"/>
        <v>31</v>
      </c>
    </row>
    <row r="26" spans="1:12" x14ac:dyDescent="0.3">
      <c r="B26" s="789"/>
      <c r="C26" s="789"/>
      <c r="D26" s="794">
        <f>SUM(D14:D25)</f>
        <v>365</v>
      </c>
    </row>
    <row r="28" spans="1:12" ht="43.2" x14ac:dyDescent="0.3">
      <c r="A28" s="795" t="s">
        <v>445</v>
      </c>
      <c r="B28" s="791" t="s">
        <v>428</v>
      </c>
      <c r="C28" s="800">
        <v>1</v>
      </c>
    </row>
    <row r="29" spans="1:12" x14ac:dyDescent="0.3">
      <c r="A29" s="778">
        <v>1</v>
      </c>
      <c r="B29" s="778" t="s">
        <v>221</v>
      </c>
    </row>
    <row r="30" spans="1:12" x14ac:dyDescent="0.3">
      <c r="A30" s="778">
        <v>2</v>
      </c>
      <c r="B30" s="778" t="s">
        <v>240</v>
      </c>
    </row>
    <row r="31" spans="1:12" s="796" customFormat="1" x14ac:dyDescent="0.3">
      <c r="A31" s="796" t="s">
        <v>441</v>
      </c>
    </row>
    <row r="32" spans="1:12" x14ac:dyDescent="0.3">
      <c r="J32" s="779" t="s">
        <v>122</v>
      </c>
    </row>
    <row r="33" spans="1:14" x14ac:dyDescent="0.3">
      <c r="B33" s="430" t="s">
        <v>414</v>
      </c>
      <c r="C33" s="431" t="s">
        <v>412</v>
      </c>
      <c r="D33" s="780">
        <v>1</v>
      </c>
      <c r="E33" s="797">
        <v>1</v>
      </c>
      <c r="G33" s="778" t="s">
        <v>153</v>
      </c>
      <c r="H33" s="797">
        <v>2</v>
      </c>
      <c r="J33" s="797">
        <v>2</v>
      </c>
      <c r="K33" s="781">
        <v>1</v>
      </c>
      <c r="L33" s="778" t="s">
        <v>134</v>
      </c>
      <c r="M33" s="778" t="s">
        <v>152</v>
      </c>
    </row>
    <row r="34" spans="1:14" x14ac:dyDescent="0.3">
      <c r="B34" s="431"/>
      <c r="C34" s="431" t="s">
        <v>171</v>
      </c>
      <c r="D34" s="432">
        <v>2</v>
      </c>
      <c r="G34" s="429" t="s">
        <v>418</v>
      </c>
      <c r="H34" s="778">
        <v>1</v>
      </c>
      <c r="I34" s="778" t="s">
        <v>292</v>
      </c>
      <c r="K34" s="781">
        <v>2</v>
      </c>
      <c r="L34" s="778" t="s">
        <v>291</v>
      </c>
      <c r="M34" s="778" t="s">
        <v>256</v>
      </c>
      <c r="N34" s="778" t="s">
        <v>416</v>
      </c>
    </row>
    <row r="35" spans="1:14" x14ac:dyDescent="0.3">
      <c r="G35" s="429" t="s">
        <v>419</v>
      </c>
      <c r="H35" s="778">
        <v>2</v>
      </c>
      <c r="I35" s="778" t="s">
        <v>154</v>
      </c>
    </row>
    <row r="36" spans="1:14" x14ac:dyDescent="0.3">
      <c r="L36" s="433"/>
    </row>
    <row r="37" spans="1:14" ht="43.2" x14ac:dyDescent="0.3">
      <c r="A37" s="788">
        <f>'Klasik, CNG, M3R, výrobce'!D67</f>
        <v>8</v>
      </c>
      <c r="B37" s="789" t="s">
        <v>279</v>
      </c>
      <c r="C37" s="790" t="s">
        <v>280</v>
      </c>
      <c r="D37" s="790" t="s">
        <v>281</v>
      </c>
      <c r="E37" s="791" t="s">
        <v>415</v>
      </c>
      <c r="F37" s="797">
        <v>1</v>
      </c>
      <c r="I37" s="779" t="s">
        <v>421</v>
      </c>
      <c r="J37" s="779" t="s">
        <v>420</v>
      </c>
      <c r="K37" s="799">
        <v>5</v>
      </c>
      <c r="L37" s="791" t="s">
        <v>439</v>
      </c>
    </row>
    <row r="38" spans="1:14" x14ac:dyDescent="0.3">
      <c r="B38" s="789">
        <v>1</v>
      </c>
      <c r="C38" s="792" t="s">
        <v>448</v>
      </c>
      <c r="D38" s="793">
        <f>DAY(EOMONTH(DATE(YEAR($A$13),$B38,1),0))</f>
        <v>31</v>
      </c>
      <c r="H38" s="778">
        <v>1</v>
      </c>
      <c r="I38" s="435" t="s">
        <v>417</v>
      </c>
      <c r="J38" s="429" t="str">
        <f>IF(E33=2,I38,"")</f>
        <v/>
      </c>
      <c r="K38" s="778" t="s">
        <v>432</v>
      </c>
      <c r="L38" s="778" t="str">
        <f>IF(AND(H38=$K$37,J38=I38),"OK","nevybrána výše rozmezí nadlimitu")</f>
        <v>nevybrána výše rozmezí nadlimitu</v>
      </c>
    </row>
    <row r="39" spans="1:14" x14ac:dyDescent="0.3">
      <c r="B39" s="789">
        <v>2</v>
      </c>
      <c r="C39" s="792" t="s">
        <v>449</v>
      </c>
      <c r="D39" s="793">
        <f t="shared" ref="D39:D49" si="2">DAY(EOMONTH(DATE(YEAR($A$13),$B39,1),0))</f>
        <v>28</v>
      </c>
      <c r="H39" s="778">
        <v>2</v>
      </c>
      <c r="I39" s="435" t="s">
        <v>262</v>
      </c>
      <c r="J39" s="429" t="str">
        <f>IF(AND(E33=1,H33=1),I39,"")</f>
        <v/>
      </c>
      <c r="K39" s="778" t="s">
        <v>430</v>
      </c>
      <c r="L39" s="778" t="str">
        <f>IF(AND(H39=$K$37,J39=I39),"OK","nevybrána výše rozmezí nadlimitu")</f>
        <v>nevybrána výše rozmezí nadlimitu</v>
      </c>
    </row>
    <row r="40" spans="1:14" x14ac:dyDescent="0.3">
      <c r="B40" s="789">
        <v>3</v>
      </c>
      <c r="C40" s="792" t="s">
        <v>450</v>
      </c>
      <c r="D40" s="793">
        <f t="shared" si="2"/>
        <v>31</v>
      </c>
      <c r="H40" s="778">
        <v>3</v>
      </c>
      <c r="I40" s="435" t="s">
        <v>141</v>
      </c>
      <c r="J40" s="429" t="str">
        <f>IF(H33=1,"",IF(AND(E33=1,H33=2),I40,""))</f>
        <v xml:space="preserve">  &gt; 500 000 =&lt; 1 000 000 MWh</v>
      </c>
      <c r="K40" s="778" t="s">
        <v>431</v>
      </c>
      <c r="L40" s="778" t="str">
        <f>IF(AND(H40=$K$37,J40=I40),"OK","nevybrána výše rozmezí nadlimitu")</f>
        <v>nevybrána výše rozmezí nadlimitu</v>
      </c>
    </row>
    <row r="41" spans="1:14" x14ac:dyDescent="0.3">
      <c r="B41" s="789">
        <v>4</v>
      </c>
      <c r="C41" s="792" t="s">
        <v>451</v>
      </c>
      <c r="D41" s="793">
        <f t="shared" si="2"/>
        <v>30</v>
      </c>
      <c r="H41" s="778">
        <v>4</v>
      </c>
      <c r="I41" s="435" t="s">
        <v>263</v>
      </c>
      <c r="J41" s="429" t="str">
        <f>IF(H33=1,"",IF(AND(E33=1,H33=2),I41,""))</f>
        <v xml:space="preserve">  &gt; 1 000 000 =&lt; 1 500 000 MWh</v>
      </c>
      <c r="K41" s="778" t="s">
        <v>431</v>
      </c>
      <c r="L41" s="778" t="str">
        <f t="shared" ref="L41:L42" si="3">IF(AND(H41=$K$37,J41=I41),"OK","nevybrána výše rozmezí nadlimitu")</f>
        <v>nevybrána výše rozmezí nadlimitu</v>
      </c>
    </row>
    <row r="42" spans="1:14" x14ac:dyDescent="0.3">
      <c r="B42" s="789">
        <v>5</v>
      </c>
      <c r="C42" s="792" t="s">
        <v>452</v>
      </c>
      <c r="D42" s="793">
        <f t="shared" si="2"/>
        <v>31</v>
      </c>
      <c r="H42" s="778">
        <v>5</v>
      </c>
      <c r="I42" s="435" t="s">
        <v>265</v>
      </c>
      <c r="J42" s="429" t="str">
        <f>IF(H33=1,"",IF(AND(E33=1,H33=2),I42,""))</f>
        <v xml:space="preserve">  &gt; 1 500 000 MWh</v>
      </c>
      <c r="K42" s="778" t="s">
        <v>431</v>
      </c>
      <c r="L42" s="778" t="str">
        <f t="shared" si="3"/>
        <v>OK</v>
      </c>
    </row>
    <row r="43" spans="1:14" x14ac:dyDescent="0.3">
      <c r="B43" s="789">
        <v>6</v>
      </c>
      <c r="C43" s="792" t="s">
        <v>453</v>
      </c>
      <c r="D43" s="793">
        <f t="shared" si="2"/>
        <v>30</v>
      </c>
    </row>
    <row r="44" spans="1:14" x14ac:dyDescent="0.3">
      <c r="B44" s="789">
        <v>7</v>
      </c>
      <c r="C44" s="792" t="s">
        <v>454</v>
      </c>
      <c r="D44" s="793">
        <f t="shared" si="2"/>
        <v>31</v>
      </c>
    </row>
    <row r="45" spans="1:14" x14ac:dyDescent="0.3">
      <c r="B45" s="789">
        <v>8</v>
      </c>
      <c r="C45" s="792" t="s">
        <v>455</v>
      </c>
      <c r="D45" s="793">
        <f t="shared" si="2"/>
        <v>31</v>
      </c>
    </row>
    <row r="46" spans="1:14" x14ac:dyDescent="0.3">
      <c r="B46" s="789">
        <v>9</v>
      </c>
      <c r="C46" s="792" t="s">
        <v>456</v>
      </c>
      <c r="D46" s="793">
        <f t="shared" si="2"/>
        <v>30</v>
      </c>
    </row>
    <row r="47" spans="1:14" x14ac:dyDescent="0.3">
      <c r="B47" s="789">
        <v>10</v>
      </c>
      <c r="C47" s="792" t="s">
        <v>457</v>
      </c>
      <c r="D47" s="793">
        <f t="shared" si="2"/>
        <v>31</v>
      </c>
    </row>
    <row r="48" spans="1:14" x14ac:dyDescent="0.3">
      <c r="B48" s="789">
        <v>11</v>
      </c>
      <c r="C48" s="792" t="s">
        <v>459</v>
      </c>
      <c r="D48" s="793">
        <f t="shared" si="2"/>
        <v>30</v>
      </c>
    </row>
    <row r="49" spans="2:4" x14ac:dyDescent="0.3">
      <c r="B49" s="789">
        <v>12</v>
      </c>
      <c r="C49" s="792" t="s">
        <v>458</v>
      </c>
      <c r="D49" s="793">
        <f t="shared" si="2"/>
        <v>31</v>
      </c>
    </row>
    <row r="50" spans="2:4" x14ac:dyDescent="0.3">
      <c r="B50" s="789"/>
      <c r="C50" s="789"/>
      <c r="D50" s="794">
        <f>SUM(D38:D49)</f>
        <v>365</v>
      </c>
    </row>
  </sheetData>
  <sheetProtection algorithmName="SHA-512" hashValue="vz5KTKHvnNwLrIHQkGF/j2sXwsZuFXXw0LuaLSRW8yeG23BFVh75LlP8+HbsUi4HcUDqHQnMpUuSI/BHnzILQw==" saltValue="YTmgnBQpGB8WuC9C52rMjg==" spinCount="100000" sheet="1" objects="1" scenarios="1"/>
  <mergeCells count="2">
    <mergeCell ref="E9:I9"/>
    <mergeCell ref="D10:I10"/>
  </mergeCells>
  <pageMargins left="0.7" right="0.7" top="0.78740157499999996" bottom="0.78740157499999996" header="0.3" footer="0.3"/>
  <pageSetup paperSize="9" orientation="portrait" verticalDpi="0" r:id="rId1"/>
  <customProperties>
    <customPr name="EpmWorksheetKeyString_GUID" r:id="rId2"/>
  </customPropertie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60958-D2A7-48A4-81DE-E914BEF37328}">
  <sheetPr codeName="List4"/>
  <dimension ref="A1:AM91"/>
  <sheetViews>
    <sheetView topLeftCell="D1" zoomScale="70" zoomScaleNormal="70" workbookViewId="0">
      <pane xSplit="9" ySplit="10" topLeftCell="M11" activePane="bottomRight" state="frozen"/>
      <selection activeCell="M33" sqref="M33"/>
      <selection pane="topRight" activeCell="M33" sqref="M33"/>
      <selection pane="bottomLeft" activeCell="M33" sqref="M33"/>
      <selection pane="bottomRight" activeCell="J31" sqref="J31"/>
    </sheetView>
  </sheetViews>
  <sheetFormatPr defaultColWidth="9.109375" defaultRowHeight="14.4" x14ac:dyDescent="0.3"/>
  <cols>
    <col min="1" max="1" width="11.5546875" style="10" customWidth="1"/>
    <col min="2" max="2" width="17.6640625" style="10" customWidth="1"/>
    <col min="3" max="3" width="9.109375" style="10"/>
    <col min="4" max="4" width="12.109375" style="10" customWidth="1"/>
    <col min="5" max="5" width="38.5546875" style="10" customWidth="1"/>
    <col min="6" max="6" width="15.33203125" style="10" customWidth="1"/>
    <col min="7" max="7" width="12.5546875" style="10" customWidth="1"/>
    <col min="8" max="8" width="15.6640625" style="10" customWidth="1"/>
    <col min="9" max="9" width="16.44140625" style="10" bestFit="1" customWidth="1"/>
    <col min="10" max="10" width="15.109375" style="10" customWidth="1"/>
    <col min="11" max="11" width="15" style="10" bestFit="1" customWidth="1"/>
    <col min="12" max="13" width="15" style="10" customWidth="1"/>
    <col min="14" max="14" width="13.44140625" style="10" bestFit="1" customWidth="1"/>
    <col min="15" max="15" width="12" style="10" bestFit="1" customWidth="1"/>
    <col min="16" max="16" width="11.33203125" style="10" customWidth="1"/>
    <col min="17" max="21" width="9.109375" style="10" hidden="1" customWidth="1"/>
    <col min="22" max="22" width="13.6640625" style="10" customWidth="1"/>
    <col min="23" max="23" width="22.33203125" style="10" customWidth="1"/>
    <col min="24" max="24" width="17.5546875" style="10" customWidth="1"/>
    <col min="25" max="25" width="23.6640625" style="10" customWidth="1"/>
    <col min="26" max="26" width="16.88671875" style="10" customWidth="1"/>
    <col min="27" max="27" width="20" style="10" customWidth="1"/>
    <col min="28" max="28" width="23" style="10" customWidth="1"/>
    <col min="29" max="30" width="16.88671875" style="10" customWidth="1"/>
    <col min="31" max="31" width="23" style="10" customWidth="1"/>
    <col min="32" max="33" width="16.6640625" style="10" customWidth="1"/>
    <col min="34" max="34" width="23" style="10" customWidth="1"/>
    <col min="35" max="36" width="16.5546875" style="10" customWidth="1"/>
    <col min="37" max="37" width="23" style="10" customWidth="1"/>
    <col min="38" max="38" width="10.6640625" style="10" bestFit="1" customWidth="1"/>
    <col min="39" max="39" width="12.44140625" style="10" bestFit="1" customWidth="1"/>
    <col min="40" max="16384" width="9.109375" style="10"/>
  </cols>
  <sheetData>
    <row r="1" spans="1:39" s="58" customFormat="1" ht="15.6" x14ac:dyDescent="0.3">
      <c r="B1" s="59"/>
      <c r="C1" s="59"/>
      <c r="D1" s="59"/>
      <c r="E1" s="59" t="s">
        <v>142</v>
      </c>
      <c r="F1" s="60" t="s">
        <v>143</v>
      </c>
      <c r="G1" s="59"/>
      <c r="H1" s="59"/>
      <c r="I1" s="59"/>
      <c r="J1" s="61" t="s">
        <v>144</v>
      </c>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row>
    <row r="2" spans="1:39" s="58" customFormat="1" ht="15.6" x14ac:dyDescent="0.3">
      <c r="B2" s="59"/>
      <c r="C2" s="59"/>
      <c r="D2" s="62" t="s">
        <v>145</v>
      </c>
      <c r="E2" s="63" t="s">
        <v>146</v>
      </c>
      <c r="F2" s="64" t="s">
        <v>147</v>
      </c>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row>
    <row r="3" spans="1:39" s="58" customFormat="1" ht="15.6" x14ac:dyDescent="0.3">
      <c r="B3" s="59"/>
      <c r="C3" s="59"/>
      <c r="D3" s="65"/>
      <c r="E3" s="66" t="s">
        <v>295</v>
      </c>
      <c r="F3" s="61"/>
      <c r="G3" s="59"/>
      <c r="H3" s="59"/>
      <c r="I3" s="59"/>
      <c r="J3" s="59"/>
      <c r="K3" s="64"/>
      <c r="L3" s="64"/>
      <c r="M3" s="64"/>
      <c r="N3" s="59"/>
      <c r="O3" s="59"/>
      <c r="P3" s="59"/>
      <c r="Q3" s="59"/>
      <c r="R3" s="59"/>
      <c r="S3" s="59"/>
      <c r="T3" s="59"/>
      <c r="U3" s="59"/>
      <c r="V3" s="59"/>
      <c r="W3" s="59"/>
      <c r="X3" s="59"/>
      <c r="Y3" s="59"/>
      <c r="Z3" s="67"/>
      <c r="AA3" s="59"/>
      <c r="AB3" s="59"/>
      <c r="AC3" s="59"/>
      <c r="AD3" s="59"/>
      <c r="AE3" s="59"/>
      <c r="AF3" s="59"/>
      <c r="AG3" s="59"/>
      <c r="AH3" s="59"/>
      <c r="AI3" s="59"/>
      <c r="AJ3" s="59"/>
      <c r="AK3" s="59"/>
    </row>
    <row r="4" spans="1:39" s="58" customFormat="1" ht="57.6" x14ac:dyDescent="0.3">
      <c r="D4" s="68"/>
      <c r="E4" s="301" t="s">
        <v>294</v>
      </c>
      <c r="F4" s="61" t="s">
        <v>293</v>
      </c>
      <c r="G4" s="59"/>
      <c r="H4" s="59"/>
      <c r="I4" s="59"/>
      <c r="J4" s="69" t="s">
        <v>148</v>
      </c>
      <c r="K4" s="70" t="s">
        <v>149</v>
      </c>
      <c r="L4" s="71" t="str">
        <f>VLOOKUP('ovládací prvky'!K13,'ovládací prvky'!H14:I18,2,FALSE)</f>
        <v>&lt;= 500 000 MWh</v>
      </c>
      <c r="M4" s="71" t="str">
        <f>IF(VLOOKUP('ovládací prvky'!K13,'ovládací prvky'!H14:L18,5,FALSE)="OK",VLOOKUP('ovládací prvky'!K13,'ovládací prvky'!H14:I18,2,FALSE),"nevybrána výše rozmezí nadlimitu")</f>
        <v>&lt;= 500 000 MWh</v>
      </c>
      <c r="P4" s="12" t="s">
        <v>447</v>
      </c>
      <c r="Q4" s="59"/>
      <c r="R4" s="59"/>
      <c r="S4" s="59"/>
      <c r="T4" s="59"/>
      <c r="U4" s="59"/>
      <c r="V4" s="59"/>
      <c r="X4" s="59"/>
      <c r="Y4" s="59"/>
      <c r="Z4" s="61"/>
      <c r="AA4" s="61"/>
      <c r="AB4" s="59"/>
      <c r="AC4" s="59"/>
      <c r="AD4" s="59"/>
      <c r="AE4" s="59"/>
      <c r="AF4" s="59"/>
      <c r="AG4" s="59"/>
      <c r="AH4" s="59"/>
      <c r="AI4" s="59"/>
      <c r="AJ4" s="59"/>
      <c r="AK4" s="59"/>
    </row>
    <row r="5" spans="1:39" s="72" customFormat="1" ht="63.75" customHeight="1" x14ac:dyDescent="0.3">
      <c r="A5" s="678" t="s">
        <v>150</v>
      </c>
      <c r="B5" s="678"/>
      <c r="E5" s="73" t="s">
        <v>151</v>
      </c>
      <c r="F5" s="437" t="str">
        <f>VLOOKUP('ovládací prvky'!J2,'ovládací prvky'!K2:M3,3,FALSE)</f>
        <v>NGAS</v>
      </c>
      <c r="G5" s="73" t="s">
        <v>153</v>
      </c>
      <c r="H5" s="437" t="str">
        <f>VLOOKUP('ovládací prvky'!H2,'ovládací prvky'!H3:I4,2,FALSE)</f>
        <v>dálkovod</v>
      </c>
      <c r="I5" s="71"/>
      <c r="J5" s="438" t="str">
        <f>IF(K5="&lt;= 500 000 MWh","NE","ANO")</f>
        <v>NE</v>
      </c>
      <c r="K5" s="439" t="str">
        <f>IF(VLOOKUP('ovládací prvky'!K13,'ovládací prvky'!H14:L18,5,FALSE)="OK",VLOOKUP('ovládací prvky'!K13,'ovládací prvky'!H14:I18,2,FALSE),"nevybrána výše rozmezí nadlimitu")</f>
        <v>&lt;= 500 000 MWh</v>
      </c>
      <c r="L5" s="71" t="str">
        <f>IF(AND('ovládací prvky'!E2=1,'ovládací prvky'!K13&gt;1),"ANO",IF(AND('ovládací prvky'!E2=1,'ovládací prvky'!K13=1),"není vybrán rozmezí nadlimitu","NE"))</f>
        <v>NE</v>
      </c>
      <c r="M5" s="421"/>
      <c r="Q5" s="71"/>
      <c r="R5" s="71"/>
      <c r="S5" s="71"/>
      <c r="T5" s="71"/>
      <c r="U5" s="71"/>
      <c r="V5" s="71"/>
      <c r="W5" s="71"/>
      <c r="X5" s="71"/>
      <c r="Y5" s="59"/>
      <c r="Z5" s="59"/>
      <c r="AA5" s="59"/>
      <c r="AB5" s="59"/>
      <c r="AC5" s="59"/>
      <c r="AD5" s="59" t="s">
        <v>440</v>
      </c>
      <c r="AE5" s="59"/>
      <c r="AF5" s="71"/>
      <c r="AG5" s="71"/>
      <c r="AH5" s="71"/>
      <c r="AI5" s="71"/>
      <c r="AJ5" s="71"/>
      <c r="AK5" s="71"/>
    </row>
    <row r="6" spans="1:39" s="72" customFormat="1" ht="25.8" x14ac:dyDescent="0.5">
      <c r="A6" s="74" t="s">
        <v>155</v>
      </c>
      <c r="B6" s="75"/>
      <c r="E6" s="76" t="s">
        <v>156</v>
      </c>
      <c r="F6" s="302" t="str">
        <f>VLOOKUP('ovládací prvky'!F13,'ovládací prvky'!B14:C25,2,FALSE)</f>
        <v>Leden</v>
      </c>
      <c r="G6" s="77"/>
      <c r="H6" s="77"/>
      <c r="I6" s="465"/>
      <c r="J6" s="71"/>
      <c r="K6" s="61"/>
      <c r="L6" s="61"/>
      <c r="N6" s="71"/>
      <c r="O6" s="71"/>
      <c r="P6" s="71"/>
      <c r="Q6" s="71"/>
      <c r="R6" s="71"/>
      <c r="S6" s="71"/>
      <c r="T6" s="71"/>
      <c r="U6" s="71"/>
      <c r="V6" s="71"/>
      <c r="W6" s="71"/>
      <c r="X6" s="71"/>
      <c r="Y6" s="71"/>
      <c r="Z6" s="59"/>
      <c r="AA6" s="71"/>
      <c r="AB6" s="71"/>
      <c r="AC6" s="59"/>
      <c r="AD6" s="59"/>
      <c r="AE6" s="59"/>
      <c r="AF6" s="78"/>
      <c r="AG6" s="71"/>
      <c r="AH6" s="71"/>
      <c r="AI6" s="78"/>
      <c r="AJ6" s="71"/>
      <c r="AK6" s="71"/>
    </row>
    <row r="7" spans="1:39" s="72" customFormat="1" ht="16.2" thickBot="1" x14ac:dyDescent="0.35">
      <c r="A7" s="74" t="s">
        <v>157</v>
      </c>
      <c r="B7" s="75"/>
      <c r="E7" s="73" t="s">
        <v>158</v>
      </c>
      <c r="F7" s="440">
        <f>VLOOKUP($F$6,$E$60:$K$71,7,FALSE)</f>
        <v>44562</v>
      </c>
      <c r="G7" s="440">
        <f>VLOOKUP($F$6,$E$60:$K$71,6,FALSE)</f>
        <v>44592</v>
      </c>
      <c r="H7" s="77"/>
      <c r="I7" s="71"/>
      <c r="J7" s="293"/>
      <c r="K7" s="293"/>
      <c r="L7" s="71"/>
      <c r="M7" s="71"/>
      <c r="N7" s="71"/>
      <c r="O7" s="71"/>
      <c r="P7" s="71"/>
      <c r="Q7" s="71"/>
      <c r="R7" s="71"/>
      <c r="S7" s="71"/>
      <c r="T7" s="71"/>
      <c r="U7" s="71"/>
      <c r="V7" s="71"/>
      <c r="W7" s="71"/>
      <c r="X7" s="71"/>
      <c r="Y7" s="71"/>
      <c r="Z7" s="71"/>
      <c r="AA7" s="71"/>
      <c r="AB7" s="71"/>
      <c r="AC7" s="59"/>
      <c r="AD7" s="59"/>
      <c r="AE7" s="59"/>
      <c r="AF7" s="71"/>
      <c r="AG7" s="71"/>
      <c r="AH7" s="71"/>
      <c r="AI7" s="71"/>
      <c r="AJ7" s="71"/>
      <c r="AK7" s="71"/>
    </row>
    <row r="8" spans="1:39" s="72" customFormat="1" ht="21.6" customHeight="1" thickBot="1" x14ac:dyDescent="0.35">
      <c r="A8" s="74" t="s">
        <v>159</v>
      </c>
      <c r="B8" s="75"/>
      <c r="E8" s="79" t="s">
        <v>160</v>
      </c>
      <c r="F8" s="73">
        <f>VLOOKUP($F$6,$E$60:$F$71,2,FALSE)</f>
        <v>31</v>
      </c>
      <c r="H8" s="77"/>
      <c r="I8" s="71" t="s">
        <v>26</v>
      </c>
      <c r="J8" s="315" t="s">
        <v>161</v>
      </c>
      <c r="K8" s="316"/>
      <c r="L8" s="316"/>
      <c r="M8" s="316"/>
      <c r="N8" s="316"/>
      <c r="O8" s="316"/>
      <c r="P8" s="316"/>
      <c r="Q8" s="316"/>
      <c r="R8" s="316"/>
      <c r="S8" s="316"/>
      <c r="T8" s="316"/>
      <c r="U8" s="316"/>
      <c r="V8" s="317"/>
      <c r="W8" s="679" t="s">
        <v>115</v>
      </c>
      <c r="X8" s="680"/>
      <c r="Y8" s="681"/>
      <c r="Z8" s="685" t="s">
        <v>162</v>
      </c>
      <c r="AA8" s="685"/>
      <c r="AB8" s="685"/>
      <c r="AC8" s="685"/>
      <c r="AD8" s="685"/>
      <c r="AE8" s="686"/>
      <c r="AF8" s="669" t="s">
        <v>163</v>
      </c>
      <c r="AG8" s="670"/>
      <c r="AH8" s="670"/>
      <c r="AI8" s="670"/>
      <c r="AJ8" s="670"/>
      <c r="AK8" s="671"/>
      <c r="AM8" s="80" t="s">
        <v>164</v>
      </c>
    </row>
    <row r="9" spans="1:39" s="72" customFormat="1" ht="21.6" customHeight="1" thickBot="1" x14ac:dyDescent="0.35">
      <c r="A9" s="74" t="s">
        <v>165</v>
      </c>
      <c r="B9" s="75"/>
      <c r="E9" s="81" t="s">
        <v>166</v>
      </c>
      <c r="F9" s="73">
        <f>G7-F7+1</f>
        <v>31</v>
      </c>
      <c r="G9" s="77"/>
      <c r="I9" s="71"/>
      <c r="J9" s="318"/>
      <c r="K9" s="319"/>
      <c r="L9" s="319"/>
      <c r="M9" s="319"/>
      <c r="N9" s="319"/>
      <c r="O9" s="319"/>
      <c r="P9" s="319"/>
      <c r="Q9" s="319"/>
      <c r="R9" s="319"/>
      <c r="S9" s="319"/>
      <c r="T9" s="319"/>
      <c r="U9" s="319"/>
      <c r="V9" s="320"/>
      <c r="W9" s="682"/>
      <c r="X9" s="683"/>
      <c r="Y9" s="684"/>
      <c r="Z9" s="672" t="s">
        <v>167</v>
      </c>
      <c r="AA9" s="672"/>
      <c r="AB9" s="673"/>
      <c r="AC9" s="674" t="s">
        <v>30</v>
      </c>
      <c r="AD9" s="672"/>
      <c r="AE9" s="673"/>
      <c r="AF9" s="674" t="s">
        <v>167</v>
      </c>
      <c r="AG9" s="672"/>
      <c r="AH9" s="673"/>
      <c r="AI9" s="674" t="s">
        <v>30</v>
      </c>
      <c r="AJ9" s="672"/>
      <c r="AK9" s="673"/>
      <c r="AM9" s="82" t="s">
        <v>168</v>
      </c>
    </row>
    <row r="10" spans="1:39" s="72" customFormat="1" ht="55.8" thickBot="1" x14ac:dyDescent="0.35">
      <c r="A10" s="74" t="s">
        <v>169</v>
      </c>
      <c r="B10" s="75"/>
      <c r="E10" s="73" t="s">
        <v>170</v>
      </c>
      <c r="F10" s="490" t="str">
        <f>IF('ovládací prvky'!C6=4,"ANO","NE")</f>
        <v>NE</v>
      </c>
      <c r="G10" s="73" t="s">
        <v>172</v>
      </c>
      <c r="H10" s="490" t="str">
        <f>IF('ovládací prvky'!C6=2,"ANO","NE")</f>
        <v>NE</v>
      </c>
      <c r="I10" s="83"/>
      <c r="J10" s="84" t="s">
        <v>106</v>
      </c>
      <c r="K10" s="85" t="s">
        <v>173</v>
      </c>
      <c r="L10" s="86" t="s">
        <v>174</v>
      </c>
      <c r="M10" s="86" t="s">
        <v>175</v>
      </c>
      <c r="N10" s="87" t="s">
        <v>176</v>
      </c>
      <c r="O10" s="88" t="s">
        <v>177</v>
      </c>
      <c r="P10" s="88" t="s">
        <v>178</v>
      </c>
      <c r="Q10" s="85" t="s">
        <v>179</v>
      </c>
      <c r="R10" s="85" t="s">
        <v>180</v>
      </c>
      <c r="S10" s="85" t="s">
        <v>181</v>
      </c>
      <c r="T10" s="85" t="s">
        <v>182</v>
      </c>
      <c r="U10" s="85" t="s">
        <v>183</v>
      </c>
      <c r="V10" s="324" t="s">
        <v>184</v>
      </c>
      <c r="W10" s="89" t="s">
        <v>185</v>
      </c>
      <c r="X10" s="90" t="s">
        <v>186</v>
      </c>
      <c r="Y10" s="91" t="s">
        <v>187</v>
      </c>
      <c r="Z10" s="87" t="s">
        <v>185</v>
      </c>
      <c r="AA10" s="88" t="s">
        <v>186</v>
      </c>
      <c r="AB10" s="92" t="s">
        <v>187</v>
      </c>
      <c r="AC10" s="88" t="s">
        <v>185</v>
      </c>
      <c r="AD10" s="88" t="s">
        <v>186</v>
      </c>
      <c r="AE10" s="93" t="s">
        <v>187</v>
      </c>
      <c r="AF10" s="88" t="s">
        <v>185</v>
      </c>
      <c r="AG10" s="88" t="s">
        <v>186</v>
      </c>
      <c r="AH10" s="94" t="s">
        <v>187</v>
      </c>
      <c r="AI10" s="88" t="s">
        <v>185</v>
      </c>
      <c r="AJ10" s="88" t="s">
        <v>186</v>
      </c>
      <c r="AK10" s="95" t="s">
        <v>187</v>
      </c>
      <c r="AL10" s="96" t="s">
        <v>188</v>
      </c>
      <c r="AM10" s="96" t="s">
        <v>76</v>
      </c>
    </row>
    <row r="11" spans="1:39" s="72" customFormat="1" ht="40.200000000000003" customHeight="1" x14ac:dyDescent="0.3">
      <c r="A11" s="74" t="s">
        <v>189</v>
      </c>
      <c r="B11" s="75"/>
      <c r="E11" s="73" t="s">
        <v>190</v>
      </c>
      <c r="F11" s="97">
        <v>0</v>
      </c>
      <c r="G11" s="70" t="s">
        <v>466</v>
      </c>
      <c r="H11" s="70" t="str">
        <f>IF(AND('ovládací prvky'!C6=3,'Výpočet ceny distribuce'!B36&gt;'Výpočet ceny distribuce'!C12),'Výpočet ceny distribuce'!B36,"")</f>
        <v/>
      </c>
      <c r="I11" s="266" t="s">
        <v>191</v>
      </c>
      <c r="J11" s="441">
        <f>'Výpočet ceny distribuce'!C10</f>
        <v>0</v>
      </c>
      <c r="K11" s="99"/>
      <c r="L11" s="99"/>
      <c r="M11" s="99"/>
      <c r="N11" s="100"/>
      <c r="O11" s="100"/>
      <c r="P11" s="100"/>
      <c r="Q11" s="99"/>
      <c r="R11" s="99"/>
      <c r="S11" s="99"/>
      <c r="T11" s="99"/>
      <c r="U11" s="99"/>
      <c r="V11" s="101"/>
      <c r="W11" s="102"/>
      <c r="X11" s="103">
        <f t="shared" ref="X11:X30" si="0">IF(AND($F$5="NGAS",$H$5="dálkovod"),AA11,IF(AND($F$5="NGAS",$H$5="místní síť"),AD11,IF(AND($F$5="EON",$H$5="dálkovod"),AG11,AJ11)))</f>
        <v>1.635E-2</v>
      </c>
      <c r="Y11" s="104">
        <f t="shared" ref="Y11:Y31" si="1">IF(AND($F$5="NGAS",$H$5="dálkovod"),AB11,IF(AND($F$5="NGAS",$H$5="místní síť"),AE11,IF(AND($F$5="EON",$H$5="dálkovod"),AH11,AK11)))</f>
        <v>0</v>
      </c>
      <c r="Z11" s="105"/>
      <c r="AA11" s="106">
        <f>IF($H$10="ANO",$F$47,IF($J$5="ANO",VLOOKUP($K$5,$D$49:$F$51,3,FALSE),$F$45))</f>
        <v>1.635E-2</v>
      </c>
      <c r="AB11" s="107">
        <f>ROUND(AA11*$J$11,2)</f>
        <v>0</v>
      </c>
      <c r="AC11" s="108"/>
      <c r="AD11" s="106">
        <f>IF($H$10="ANO",$K$47,IF($J$5="ANO",VLOOKUP($K$5,$I$49:$K$49,3,FALSE),$K$45))</f>
        <v>4.326E-2</v>
      </c>
      <c r="AE11" s="107">
        <f>ROUND(AD11*$J$11,2)</f>
        <v>0</v>
      </c>
      <c r="AF11" s="109"/>
      <c r="AG11" s="106">
        <f>IF($H$10="ANO",$F$48,IF($J$5="ANO",VLOOKUP($K$5,$D$49:$F$51,3,FALSE),$F$46))</f>
        <v>2.4469999999999999E-2</v>
      </c>
      <c r="AH11" s="107">
        <f>ROUND(AG11*$J$11,2)</f>
        <v>0</v>
      </c>
      <c r="AI11" s="108"/>
      <c r="AJ11" s="106">
        <f>IF($H$10="ANO",$K$48,IF($J$5="ANO",VLOOKUP($K$5,$I$50:$K$50,3,FALSE),$K$46))</f>
        <v>8.8079999999999992E-2</v>
      </c>
      <c r="AK11" s="104">
        <f>ROUND(AJ11*$J$11,2)</f>
        <v>0</v>
      </c>
      <c r="AM11" s="442">
        <f t="shared" ref="AM11:AM32" si="2">Y11-AL11</f>
        <v>0</v>
      </c>
    </row>
    <row r="12" spans="1:39" s="72" customFormat="1" ht="28.95" customHeight="1" x14ac:dyDescent="0.3">
      <c r="A12" s="74" t="s">
        <v>192</v>
      </c>
      <c r="B12" s="75"/>
      <c r="E12" s="71"/>
      <c r="F12" s="71"/>
      <c r="G12" s="687" t="s">
        <v>193</v>
      </c>
      <c r="H12" s="111">
        <f>IF($F$11="0",J12,J12/(1-$F$11))</f>
        <v>0</v>
      </c>
      <c r="I12" s="112" t="s">
        <v>194</v>
      </c>
      <c r="J12" s="462">
        <f>'Výpočet ceny distribuce'!C11</f>
        <v>0</v>
      </c>
      <c r="K12" s="113">
        <f>IF(($J$12+$J$14)&lt;$E$56,$E$56,($J$12+$J$14))</f>
        <v>519</v>
      </c>
      <c r="L12" s="114" t="str">
        <f>IF(K12&gt;600000,"&gt; 600 000",IF(K12&gt;200000,"&gt; 200 000","do 200 000"))</f>
        <v>do 200 000</v>
      </c>
      <c r="M12" s="114"/>
      <c r="N12" s="115"/>
      <c r="O12" s="115"/>
      <c r="P12" s="115"/>
      <c r="Q12" s="114"/>
      <c r="R12" s="114"/>
      <c r="S12" s="114"/>
      <c r="T12" s="114"/>
      <c r="U12" s="114"/>
      <c r="V12" s="69"/>
      <c r="W12" s="116"/>
      <c r="X12" s="117">
        <f>IF(H10="ANO",0,IF(AND($F$5="NGAS",$H$5="dálkovod"),AA12,IF(AND($F$5="NGAS",$H$5="místní síť"),AD12,IF(AND($F$5="EON",$H$5="dálkovod"),AG12,AJ12))))</f>
        <v>223.33296999999999</v>
      </c>
      <c r="Y12" s="118">
        <f>IF(H10="ANO",0,IF(AND($F$5="NGAS",$H$5="dálkovod"),AB12,IF(AND($F$5="NGAS",$H$5="místní síť"),AE12,IF(AND($F$5="EON",$H$5="dálkovod"),AH12,AK12))))</f>
        <v>0</v>
      </c>
      <c r="Z12" s="119"/>
      <c r="AA12" s="120">
        <f>ROUND(IF($L12="&gt; 600 000",((($H$45+$I$45*LN($K12))*200000)+(($N$53*10.69*2.4)/1000*400000)+(($N$53*10.69*1.59)/1000*($K12-600000)))/$K12,IF($L12="&gt; 200 000",((($H$45+$I$45*LN($K12))*200000)+(($N$53*10.69*2.4)/1000*($K12-200000)))/$K12,$H$45+$I$45*LN($K12))),5)</f>
        <v>223.33296999999999</v>
      </c>
      <c r="AB12" s="121">
        <f>ROUND($J$12*$AA$12/12/$F$8*$F$9,2)</f>
        <v>0</v>
      </c>
      <c r="AC12" s="122"/>
      <c r="AD12" s="120">
        <f>ROUND(IF($L12="&gt; 600 000",((($M$45+$N$45*LN($K12))*200000)+(($N$53*10.69*3.29)/1000*400000)+(($N$53*10.69*2.69)/1000*($K12-600000)))/$K12,IF($L12="&gt; 200 000",((($M$45+$N$45*LN($K12))*200000)+(($N$53*10.69*3.29)/1000*($K12-200000)))/$K12,$M$45+$N$45*LN($K12))),5)</f>
        <v>266.37137000000001</v>
      </c>
      <c r="AE12" s="121">
        <f>ROUND($J$12*$AD$12/12/$F$8*$F$9,2)</f>
        <v>0</v>
      </c>
      <c r="AF12" s="123"/>
      <c r="AG12" s="120">
        <f>ROUND(IF($L12="&gt; 600 000",((($H$46+$I$46*LN($K12))*200000)+(($N$53*10.69*2.4)/1000*400000)+(($N$53*10.69*1.59)/1000*($K12-600000)))/$K12,IF($L12="&gt; 200 000",((($H$46+$I$46*LN($K12))*200000)+(($N$53*10.69*2.4)/1000*($K12-200000)))/$K12,$H$46+$I$46*LN($K12))),5)</f>
        <v>291.10726</v>
      </c>
      <c r="AH12" s="121">
        <f>ROUND($J$12*$AG$12/12/$F$8*$F$9,2)</f>
        <v>0</v>
      </c>
      <c r="AI12" s="122"/>
      <c r="AJ12" s="120">
        <f>ROUND(IF($L12="&gt; 600 000",((($M$46+$N$46*LN($K12))*200000)+(($N$53*10.69*3.29)/1000*400000)+(($N$53*10.69*2.69)/1000*($K12-600000)))/$K12,IF($L12="&gt; 200 000",((($M$46+$N$46*LN($K12))*200000)+(($N$53*10.69*3.29)/1000*($K12-200000)))/$K12,$M$46+$N$46*LN($K12))),5)</f>
        <v>344.18436000000003</v>
      </c>
      <c r="AK12" s="118">
        <f>ROUND($J$12*$AJ$12/12/$F$8*$F$9,2)</f>
        <v>0</v>
      </c>
      <c r="AM12" s="442">
        <f t="shared" si="2"/>
        <v>0</v>
      </c>
    </row>
    <row r="13" spans="1:39" s="72" customFormat="1" ht="28.95" customHeight="1" x14ac:dyDescent="0.3">
      <c r="A13" s="74" t="s">
        <v>195</v>
      </c>
      <c r="B13" s="75"/>
      <c r="E13" s="688" t="s">
        <v>196</v>
      </c>
      <c r="F13" s="689"/>
      <c r="G13" s="687"/>
      <c r="H13" s="111">
        <f>IF($F$11="0",J13,J13/(1-$F$11))</f>
        <v>0</v>
      </c>
      <c r="I13" s="124" t="s">
        <v>197</v>
      </c>
      <c r="J13" s="443">
        <f>IF(AND('ovládací prvky'!$C$6=3,'Výpočet ceny distribuce'!B36&gt;'Výpočet ceny distribuce'!C12),'Výpočet ceny distribuce'!B36,'Výpočet ceny distribuce'!C12)</f>
        <v>0</v>
      </c>
      <c r="K13" s="125">
        <f>IF($J$13+$J$14+$J$15&lt;$E$56,$E$56,$J$13+$J$14+$J$15)</f>
        <v>519</v>
      </c>
      <c r="L13" s="125" t="str">
        <f t="shared" ref="L13:L30" si="3">IF(K13&gt;600000,"&gt; 600 000",IF(K13&gt;200000,"&gt; 200 000","do 200 000"))</f>
        <v>do 200 000</v>
      </c>
      <c r="M13" s="125"/>
      <c r="N13" s="126"/>
      <c r="O13" s="126"/>
      <c r="P13" s="126"/>
      <c r="Q13" s="127"/>
      <c r="R13" s="127"/>
      <c r="S13" s="127"/>
      <c r="T13" s="127"/>
      <c r="U13" s="127"/>
      <c r="V13" s="128"/>
      <c r="W13" s="129"/>
      <c r="X13" s="130">
        <f>IF(H10="ANO",0,IF(AND($F$5="NGAS",$H$5="dálkovod"),AA13,IF(AND($F$5="NGAS",$H$5="místní síť"),AD13,IF(AND($F$5="EON",$H$5="dálkovod"),AG13,AJ13))))</f>
        <v>207.58376999999999</v>
      </c>
      <c r="Y13" s="131">
        <f>IF(H10="ANO",0,IF(AND($F$5="NGAS",$H$5="dálkovod"),AB13,IF(AND($F$5="NGAS",$H$5="místní síť"),AE13,IF(AND($F$5="EON",$H$5="dálkovod"),AH13,AK13))))</f>
        <v>0</v>
      </c>
      <c r="Z13" s="132"/>
      <c r="AA13" s="133">
        <f>ROUND(IF($L13="&gt; 600 000",((($G$45+$I$45*LN($K13))*200000)+(($N$53*10.69*2.4)/1000*400000)+(($N$53*10.69*1.59)/1000*($K13-600000)))/$K13,IF($L13="&gt; 200 000",((($G$45+$I$45*LN($K13))*200000)+(($N$53*10.69*2.4)/1000*($K13-200000)))/$K13,$G$45+$I$45*LN($K13))),5)</f>
        <v>207.58376999999999</v>
      </c>
      <c r="AB13" s="134">
        <f>ROUND($J$13*$AA$13/12/$F$8*$F$9,2)</f>
        <v>0</v>
      </c>
      <c r="AC13" s="135"/>
      <c r="AD13" s="120">
        <f>ROUND(IF($L13="&gt; 600 000",((($L$45+$N$45*LN($K13))*200000)+(($N$53*10.69*3.29)/1000*400000)+(($N$53*10.69*2.69)/1000*($K13-600000)))/$K13,IF($L13="&gt; 200 000",((($L$45+$N$45*LN($K13))*200000)+(($N$53*10.69*3.29)/1000*($K13-200000)))/$K13,$L$45+$N$45*LN($K13))),5)</f>
        <v>248.57266999999999</v>
      </c>
      <c r="AE13" s="134">
        <f>ROUND($J$13*$AD$13/12/$F$8*$F$9,2)</f>
        <v>0</v>
      </c>
      <c r="AF13" s="135"/>
      <c r="AG13" s="120">
        <f>ROUND(IF($L13="&gt; 600 000",((($G$46+$I$46*LN($K13))*200000)+(($N$53*10.69*2.4)/1000*400000)+(($N$53*10.69*1.59)/1000*($K13-600000)))/$K13,IF($L13="&gt; 200 000",((($G$46+$I$46*LN($K13))*200000)+(($N$53*10.69*2.4)/1000*($K13-200000)))/$K13,$G$46+$I$46*LN($K13))),5)</f>
        <v>275.28746000000001</v>
      </c>
      <c r="AH13" s="134">
        <f>ROUND($J$13*$AG$13/12/$F$8*$F$9,2)</f>
        <v>0</v>
      </c>
      <c r="AI13" s="136"/>
      <c r="AJ13" s="120">
        <f>ROUND(IF($L13="&gt; 600 000",((($L$46+$N$46*LN($K13))*200000)+(($N$53*10.69*3.29)/1000*400000)+(($N$53*10.69*2.69)/1000*($K13-600000)))/$K13,IF($L13="&gt; 200 000",((($L$46+$N$46*LN($K13))*200000)+(($N$53*10.69*3.29)/1000*($K13-200000)))/$K13,$L$46+$N$46*LN($K13))),5)</f>
        <v>325.83706000000001</v>
      </c>
      <c r="AK13" s="134">
        <f>ROUND($J$13*$AJ$13/12/$F$8*$F$9,2)</f>
        <v>0</v>
      </c>
      <c r="AM13" s="442">
        <f t="shared" si="2"/>
        <v>0</v>
      </c>
    </row>
    <row r="14" spans="1:39" s="72" customFormat="1" ht="15.6" x14ac:dyDescent="0.3">
      <c r="A14" s="74" t="s">
        <v>198</v>
      </c>
      <c r="B14" s="75"/>
      <c r="E14" s="137" t="s">
        <v>199</v>
      </c>
      <c r="F14" s="125">
        <f>H13+J15+J16+J17+J18+J19+J20+J21+J22+J23+J24+J25+(IF(AND(N26&lt;=F18,O26&gt;=F18),J26,0)+IF(AND(N27&lt;=F18,O27&gt;=F18),J27,0)+IF(AND(N28&lt;=F18,O28&gt;=F18),J28,0)+IF(AND(N29&lt;=F18,O29&gt;=F18),J29,0)+IF(AND(N30&lt;=F18,O30&gt;=F18),J30,0))</f>
        <v>0</v>
      </c>
      <c r="G14" s="687"/>
      <c r="H14" s="111">
        <f>IF($F$11="0",J14,J14/(1-$F$11))</f>
        <v>0</v>
      </c>
      <c r="I14" s="138" t="s">
        <v>200</v>
      </c>
      <c r="J14" s="444">
        <f>'Výpočet ceny distribuce'!C13</f>
        <v>0</v>
      </c>
      <c r="K14" s="464">
        <f>IF($J$12&gt;0,$K$12,IF($J$13+$J$14+$J$15&lt;$E$56,$E$56,$J$13+$J$14+$J$15))</f>
        <v>519</v>
      </c>
      <c r="L14" s="125" t="str">
        <f t="shared" si="3"/>
        <v>do 200 000</v>
      </c>
      <c r="M14" s="125"/>
      <c r="N14" s="139"/>
      <c r="O14" s="139"/>
      <c r="P14" s="139"/>
      <c r="Q14" s="140"/>
      <c r="R14" s="140"/>
      <c r="S14" s="140"/>
      <c r="T14" s="140"/>
      <c r="U14" s="140"/>
      <c r="V14" s="141"/>
      <c r="W14" s="116"/>
      <c r="X14" s="117">
        <f>IF(H10="ANO",0,IF(AND($F$5="NGAS",$H$5="dálkovod"),AA14,IF(AND($F$5="NGAS",$H$5="místní síť"),AD14,IF(AND($F$5="EON",$H$5="dálkovod"),AG14,AJ14))))</f>
        <v>207.58376999999999</v>
      </c>
      <c r="Y14" s="118">
        <f>IF(H10="ANO",0,IF(AND($F$5="NGAS",$H$5="dálkovod"),AB14,IF(AND($F$5="NGAS",$H$5="místní síť"),AE14,IF(AND($F$5="EON",$H$5="dálkovod"),AH14,AK14))))</f>
        <v>0</v>
      </c>
      <c r="Z14" s="119"/>
      <c r="AA14" s="463">
        <f>IF($J$12&gt;0,$AA$12,ROUND(IF($L14="&gt; 600 000",((($G$45+$I$45*LN($K14))*200000)+(($N$53*10.69*2.4)/1000*400000)+(($N$53*10.69*1.59)/1000*($K14-600000)))/$K14,IF($L14="&gt; 200 000",((($G$45+$I$45*LN($K14))*200000)+(($N$53*10.69*2.4)/1000*($K14-200000)))/$K14,$G$45+$I$45*LN($K14))),5))</f>
        <v>207.58376999999999</v>
      </c>
      <c r="AB14" s="121">
        <f>ROUND($J$14*$AA$14/12/$F$8*$F$9,2)</f>
        <v>0</v>
      </c>
      <c r="AC14" s="122"/>
      <c r="AD14" s="463">
        <f>IF($J$12&gt;0,$AD$12,ROUND(IF($L14="&gt; 600 000",((($L$45+$N$45*LN($K14))*200000)+(($N$53*10.69*3.29)/1000*400000)+(($N$53*10.69*2.69)/1000*($K14-600000)))/$K14,IF($L14="&gt; 200 000",((($L$45+$N$45*LN($K14))*200000)+(($N$53*10.69*3.29)/1000*($K14-200000)))/$K14,$L$45+$N$45*LN($K14))),5))</f>
        <v>248.57266999999999</v>
      </c>
      <c r="AE14" s="121">
        <f>ROUND($J$14*$AD$14/12/$F$8*$F$9,2)</f>
        <v>0</v>
      </c>
      <c r="AF14" s="142"/>
      <c r="AG14" s="463">
        <f>IF($J$12&gt;0,$AG$12,ROUND(IF($L14="&gt; 600 000",((($G$46+$I$46*LN($K14))*200000)+(($N$53*10.69*2.4)/1000*400000)+(($N$53*10.69*1.59)/1000*($K14-600000)))/$K14,IF($L14="&gt; 200 000",((($G$46+$I$46*LN($K14))*200000)+(($N$53*10.69*2.4)/1000*($K14-200000)))/$K14,$G$46+$I$46*LN($K14))),5))</f>
        <v>275.28746000000001</v>
      </c>
      <c r="AH14" s="121">
        <f>ROUND($J$14*$AG$14/12/$F$8*$F$9,2)</f>
        <v>0</v>
      </c>
      <c r="AI14" s="122"/>
      <c r="AJ14" s="463">
        <f>IF($J$12&gt;0,$AJ$12,ROUND(IF($L14="&gt; 600 000",((($L$46+$N$46*LN($K14))*200000)+(($N$53*10.69*3.29)/1000*400000)+(($N$53*10.69*2.69)/1000*($K14-600000)))/$K14,IF($L14="&gt; 200 000",((($L$46+$N$46*LN($K14))*200000)+(($N$53*10.69*3.29)/1000*($K14-200000)))/$K14,$L$46+$N$46*LN($K14))),5))</f>
        <v>325.83706000000001</v>
      </c>
      <c r="AK14" s="121">
        <f>ROUND($J$14*$AJ$14/12/$F$8*$F$9,2)</f>
        <v>0</v>
      </c>
      <c r="AM14" s="442">
        <f t="shared" si="2"/>
        <v>0</v>
      </c>
    </row>
    <row r="15" spans="1:39" s="72" customFormat="1" ht="16.2" thickBot="1" x14ac:dyDescent="0.35">
      <c r="A15" s="74" t="s">
        <v>201</v>
      </c>
      <c r="B15" s="75"/>
      <c r="E15" s="70" t="s">
        <v>202</v>
      </c>
      <c r="F15" s="143">
        <f>$F$14/100*3.8</f>
        <v>0</v>
      </c>
      <c r="G15" s="687"/>
      <c r="H15" s="111">
        <f>IF($F$11="0",J15,J15/(1-$F$11))</f>
        <v>0</v>
      </c>
      <c r="I15" s="144" t="s">
        <v>203</v>
      </c>
      <c r="J15" s="145"/>
      <c r="K15" s="146">
        <f>IF($J$13+$J$14+$J$15&lt;$E$56,$E$56,$J$13+$J$14+$J$15)</f>
        <v>519</v>
      </c>
      <c r="L15" s="146" t="str">
        <f t="shared" si="3"/>
        <v>do 200 000</v>
      </c>
      <c r="M15" s="146"/>
      <c r="N15" s="147"/>
      <c r="O15" s="147"/>
      <c r="P15" s="147"/>
      <c r="Q15" s="148"/>
      <c r="R15" s="148"/>
      <c r="S15" s="148"/>
      <c r="T15" s="148"/>
      <c r="U15" s="148"/>
      <c r="V15" s="149"/>
      <c r="W15" s="150"/>
      <c r="X15" s="151">
        <f>IF(H10="ANO",0,IF(AND($F$5="NGAS",$H$5="dálkovod"),AA15,IF(AND($F$5="NGAS",$H$5="místní síť"),AD15,IF(AND($F$5="EON",$H$5="dálkovod"),AG15,AJ15))))</f>
        <v>207.58376999999999</v>
      </c>
      <c r="Y15" s="152">
        <f>IF(H10="ANO",0,IF(AND($F$5="NGAS",$H$5="dálkovod"),AB15,IF(AND($F$5="NGAS",$H$5="místní síť"),AE15,IF(AND($F$5="EON",$H$5="dálkovod"),AH15,AK15))))</f>
        <v>0</v>
      </c>
      <c r="Z15" s="153"/>
      <c r="AA15" s="154">
        <f t="shared" ref="AA15:AA25" si="4">ROUND(IF($L15="&gt; 600 000",((($G$45+$I$45*LN($K15))*200000)+(($N$53*10.69*2.4)/1000*400000)+(($N$53*10.69*1.59)/1000*($K15-600000)))/$K15,IF($L15="&gt; 200 000",((($G$45+$I$45*LN($K15))*200000)+(($N$53*10.69*2.4)/1000*($K15-200000)))/$K15,$G$45+$I$45*LN($K15))),5)</f>
        <v>207.58376999999999</v>
      </c>
      <c r="AB15" s="155">
        <f>ROUND($J$15*$AA$15/12/$F$8*$F$9,2)</f>
        <v>0</v>
      </c>
      <c r="AC15" s="156"/>
      <c r="AD15" s="154">
        <f t="shared" ref="AD15:AD25" si="5">ROUND(IF($L15="&gt; 600 000",((($L$45+$N$45*LN($K15))*200000)+(($N$53*10.69*3.29)/1000*400000)+(($N$53*10.69*2.69)/1000*($K15-600000)))/$K15,IF($L15="&gt; 200 000",((($L$45+$N$45*LN($K15))*200000)+(($N$53*10.69*3.29)/1000*($K15-200000)))/$K15,$L$45+$N$45*LN($K15))),5)</f>
        <v>248.57266999999999</v>
      </c>
      <c r="AE15" s="155">
        <f>ROUND($J$15*$AD$15/12/$F$8*$F$9,2)</f>
        <v>0</v>
      </c>
      <c r="AF15" s="157"/>
      <c r="AG15" s="154">
        <f t="shared" ref="AG15:AG25" si="6">ROUND(IF($L15="&gt; 600 000",((($G$46+$I$46*LN($K15))*200000)+(($N$53*10.69*2.4)/1000*400000)+(($N$53*10.69*1.59)/1000*($K15-600000)))/$K15,IF($L15="&gt; 200 000",((($G$46+$I$46*LN($K15))*200000)+(($N$53*10.69*2.4)/1000*($K15-200000)))/$K15,$G$46+$I$46*LN($K15))),5)</f>
        <v>275.28746000000001</v>
      </c>
      <c r="AH15" s="155">
        <f>ROUND($J$15*$AG$15/12/$F$8*$F$9,2)</f>
        <v>0</v>
      </c>
      <c r="AI15" s="156"/>
      <c r="AJ15" s="154">
        <f t="shared" ref="AJ15:AJ25" si="7">ROUND(IF($L15="&gt; 600 000",((($L$46+$N$46*LN($K15))*200000)+(($N$53*10.69*3.29)/1000*400000)+(($N$53*10.69*2.69)/1000*($K15-600000)))/$K15,IF($L15="&gt; 200 000",((($L$46+$N$46*LN($K15))*200000)+(($N$53*10.69*3.29)/1000*($K15-200000)))/$K15,$L$46+$N$46*LN($K15))),5)</f>
        <v>325.83706000000001</v>
      </c>
      <c r="AK15" s="158">
        <f>ROUND($J$15*$AJ$15/12/$F$8*$F$9,2)</f>
        <v>0</v>
      </c>
      <c r="AM15" s="442">
        <f t="shared" si="2"/>
        <v>0</v>
      </c>
    </row>
    <row r="16" spans="1:39" s="72" customFormat="1" ht="28.8" x14ac:dyDescent="0.3">
      <c r="A16" s="74" t="s">
        <v>204</v>
      </c>
      <c r="B16" s="75"/>
      <c r="E16" s="70" t="s">
        <v>205</v>
      </c>
      <c r="F16" s="159">
        <f>$F$14+$F$15</f>
        <v>0</v>
      </c>
      <c r="G16" s="160" t="s">
        <v>206</v>
      </c>
      <c r="H16" s="161">
        <f>SUM(H13:H15)</f>
        <v>0</v>
      </c>
      <c r="I16" s="124" t="s">
        <v>124</v>
      </c>
      <c r="J16" s="445">
        <f>'Výpočet ceny distribuce'!C14</f>
        <v>0</v>
      </c>
      <c r="K16" s="162">
        <f t="shared" ref="K16:K25" si="8">IF($F$11=0,IF(SUM($J$13:$J$25)&lt;$E$56,$E$56,SUM($J$13:$J$25)),IF($H$16+SUM($J$16:$J$25)&lt;$E$56,$E$56,($H$16+SUM($J$16:$J$25))))</f>
        <v>519</v>
      </c>
      <c r="L16" s="162" t="str">
        <f t="shared" si="3"/>
        <v>do 200 000</v>
      </c>
      <c r="M16" s="162"/>
      <c r="N16" s="163">
        <f t="shared" ref="N16:N25" si="9">$F$7</f>
        <v>44562</v>
      </c>
      <c r="O16" s="163">
        <f t="shared" ref="O16:O25" si="10">$G$7</f>
        <v>44592</v>
      </c>
      <c r="P16" s="164">
        <f t="shared" ref="P16:P25" si="11">VLOOKUP($F$6,$E$60:$H$71,4,FALSE)</f>
        <v>0.4</v>
      </c>
      <c r="Q16" s="127"/>
      <c r="R16" s="127"/>
      <c r="S16" s="127"/>
      <c r="T16" s="127"/>
      <c r="U16" s="127"/>
      <c r="V16" s="165"/>
      <c r="W16" s="129"/>
      <c r="X16" s="130">
        <f>IF(H10="ANO",0,IF(AND($F$5="NGAS",$H$5="dálkovod"),AA16,IF(AND($F$5="NGAS",$H$5="místní síť"),AD16,IF(AND($F$5="EON",$H$5="dálkovod"),AG16,AJ16))))</f>
        <v>207.58376999999999</v>
      </c>
      <c r="Y16" s="131">
        <f>IF(H10="ANO",0,IF(AND($F$5="NGAS",$H$5="dálkovod"),AB16,IF(AND($F$5="NGAS",$H$5="místní síť"),AE16,IF(AND($F$5="EON",$H$5="dálkovod"),AH16,AK16))))</f>
        <v>0</v>
      </c>
      <c r="Z16" s="132"/>
      <c r="AA16" s="133">
        <f>ROUND(IF($L16="&gt; 600 000",((($G$45+$I$45*LN($K16))*200000)+(($N$53*10.69*2.4)/1000*400000)+(($N$53*10.69*1.59)/1000*($K16-600000)))/$K16,IF($L16="&gt; 200 000",((($G$45+$I$45*LN($K16))*200000)+(($N$53*10.69*2.4)/1000*($K16-200000)))/$K16,$G$45+$I$45*LN($K16))),5)</f>
        <v>207.58376999999999</v>
      </c>
      <c r="AB16" s="134">
        <f>ROUND(($J16*$AA16*$P16)/$F$8*$F$9,2)</f>
        <v>0</v>
      </c>
      <c r="AC16" s="135"/>
      <c r="AD16" s="133">
        <f t="shared" si="5"/>
        <v>248.57266999999999</v>
      </c>
      <c r="AE16" s="134">
        <f>ROUND(($J16*$AD16*$P16)/$F$8*$F$9,2)</f>
        <v>0</v>
      </c>
      <c r="AF16" s="135"/>
      <c r="AG16" s="133">
        <f t="shared" si="6"/>
        <v>275.28746000000001</v>
      </c>
      <c r="AH16" s="134">
        <f t="shared" ref="AH16:AH25" si="12">ROUND(($J16*$AG16*$P16)/$F$8*$F$9,2)</f>
        <v>0</v>
      </c>
      <c r="AI16" s="136"/>
      <c r="AJ16" s="133">
        <f t="shared" si="7"/>
        <v>325.83706000000001</v>
      </c>
      <c r="AK16" s="134">
        <f t="shared" ref="AK16:AK25" si="13">ROUND(($J16*$AJ16*$P16)/$F$8*$F$9,2)</f>
        <v>0</v>
      </c>
      <c r="AM16" s="442">
        <f t="shared" si="2"/>
        <v>0</v>
      </c>
    </row>
    <row r="17" spans="1:39" s="72" customFormat="1" ht="31.95" customHeight="1" x14ac:dyDescent="0.3">
      <c r="A17" s="74" t="s">
        <v>207</v>
      </c>
      <c r="B17" s="75"/>
      <c r="E17" s="70" t="s">
        <v>208</v>
      </c>
      <c r="F17" s="166">
        <f>F16/24</f>
        <v>0</v>
      </c>
      <c r="I17" s="138" t="s">
        <v>125</v>
      </c>
      <c r="J17" s="445">
        <f>'Výpočet ceny distribuce'!C15</f>
        <v>0</v>
      </c>
      <c r="K17" s="125">
        <f t="shared" si="8"/>
        <v>519</v>
      </c>
      <c r="L17" s="125" t="str">
        <f t="shared" si="3"/>
        <v>do 200 000</v>
      </c>
      <c r="M17" s="125"/>
      <c r="N17" s="163">
        <f t="shared" si="9"/>
        <v>44562</v>
      </c>
      <c r="O17" s="163">
        <f t="shared" si="10"/>
        <v>44592</v>
      </c>
      <c r="P17" s="164">
        <f t="shared" si="11"/>
        <v>0.4</v>
      </c>
      <c r="Q17" s="127"/>
      <c r="R17" s="127"/>
      <c r="S17" s="127"/>
      <c r="T17" s="127"/>
      <c r="U17" s="127"/>
      <c r="V17" s="168"/>
      <c r="W17" s="129"/>
      <c r="X17" s="117">
        <f>IF(H10="ANO",0,IF(AND($F$5="NGAS",$H$5="dálkovod"),AA17,IF(AND($F$5="NGAS",$H$5="místní síť"),AD17,IF(AND($F$5="EON",$H$5="dálkovod"),AG17,AJ17))))</f>
        <v>207.58376999999999</v>
      </c>
      <c r="Y17" s="118">
        <f>IF(H10="ANO",0,IF(AND($F$5="NGAS",$H$5="dálkovod"),AB17,IF(AND($F$5="NGAS",$H$5="místní síť"),AE17,IF(AND($F$5="EON",$H$5="dálkovod"),AH17,AK17))))</f>
        <v>0</v>
      </c>
      <c r="Z17" s="132"/>
      <c r="AA17" s="120">
        <f t="shared" si="4"/>
        <v>207.58376999999999</v>
      </c>
      <c r="AB17" s="121">
        <f t="shared" ref="AB17:AB25" si="14">ROUND(($J17*$AA17*$P17)/$F$8*$F$9,2)</f>
        <v>0</v>
      </c>
      <c r="AC17" s="122"/>
      <c r="AD17" s="120">
        <f t="shared" si="5"/>
        <v>248.57266999999999</v>
      </c>
      <c r="AE17" s="121">
        <f t="shared" ref="AE17:AE25" si="15">ROUND(($J17*$AD17*$P17)/$F$8*$F$9,2)</f>
        <v>0</v>
      </c>
      <c r="AF17" s="169"/>
      <c r="AG17" s="120">
        <f t="shared" si="6"/>
        <v>275.28746000000001</v>
      </c>
      <c r="AH17" s="121">
        <f t="shared" si="12"/>
        <v>0</v>
      </c>
      <c r="AI17" s="122"/>
      <c r="AJ17" s="120">
        <f t="shared" si="7"/>
        <v>325.83706000000001</v>
      </c>
      <c r="AK17" s="121">
        <f t="shared" si="13"/>
        <v>0</v>
      </c>
      <c r="AM17" s="442">
        <f t="shared" si="2"/>
        <v>0</v>
      </c>
    </row>
    <row r="18" spans="1:39" s="72" customFormat="1" ht="36" customHeight="1" x14ac:dyDescent="0.3">
      <c r="A18" s="170" t="s">
        <v>209</v>
      </c>
      <c r="B18" s="446">
        <f>SUM(B6:B17)/1000</f>
        <v>0</v>
      </c>
      <c r="E18" s="70" t="s">
        <v>210</v>
      </c>
      <c r="F18" s="447">
        <f>'Výpočet ceny distribuce'!A36</f>
        <v>0</v>
      </c>
      <c r="G18" s="75" t="s">
        <v>211</v>
      </c>
      <c r="I18" s="138" t="s">
        <v>126</v>
      </c>
      <c r="J18" s="445">
        <f>'Výpočet ceny distribuce'!C16</f>
        <v>0</v>
      </c>
      <c r="K18" s="125">
        <f t="shared" si="8"/>
        <v>519</v>
      </c>
      <c r="L18" s="125" t="str">
        <f t="shared" si="3"/>
        <v>do 200 000</v>
      </c>
      <c r="M18" s="125"/>
      <c r="N18" s="163">
        <f t="shared" si="9"/>
        <v>44562</v>
      </c>
      <c r="O18" s="163">
        <f t="shared" si="10"/>
        <v>44592</v>
      </c>
      <c r="P18" s="164">
        <f t="shared" si="11"/>
        <v>0.4</v>
      </c>
      <c r="Q18" s="127"/>
      <c r="R18" s="127"/>
      <c r="S18" s="127"/>
      <c r="T18" s="127"/>
      <c r="U18" s="127"/>
      <c r="V18" s="168"/>
      <c r="W18" s="129"/>
      <c r="X18" s="117">
        <f>IF(H10="ANO",0,IF(AND($F$5="NGAS",$H$5="dálkovod"),AA18,IF(AND($F$5="NGAS",$H$5="místní síť"),AD18,IF(AND($F$5="EON",$H$5="dálkovod"),AG18,AJ18))))</f>
        <v>207.58376999999999</v>
      </c>
      <c r="Y18" s="118">
        <f>IF(H10="ANO",0,IF(AND($F$5="NGAS",$H$5="dálkovod"),AB18,IF(AND($F$5="NGAS",$H$5="místní síť"),AE18,IF(AND($F$5="EON",$H$5="dálkovod"),AH18,AK18))))</f>
        <v>0</v>
      </c>
      <c r="Z18" s="132"/>
      <c r="AA18" s="120">
        <f t="shared" si="4"/>
        <v>207.58376999999999</v>
      </c>
      <c r="AB18" s="121">
        <f t="shared" si="14"/>
        <v>0</v>
      </c>
      <c r="AC18" s="122"/>
      <c r="AD18" s="120">
        <f t="shared" si="5"/>
        <v>248.57266999999999</v>
      </c>
      <c r="AE18" s="121">
        <f t="shared" si="15"/>
        <v>0</v>
      </c>
      <c r="AF18" s="169"/>
      <c r="AG18" s="120">
        <f t="shared" si="6"/>
        <v>275.28746000000001</v>
      </c>
      <c r="AH18" s="121">
        <f t="shared" si="12"/>
        <v>0</v>
      </c>
      <c r="AI18" s="122"/>
      <c r="AJ18" s="120">
        <f t="shared" si="7"/>
        <v>325.83706000000001</v>
      </c>
      <c r="AK18" s="121">
        <f t="shared" si="13"/>
        <v>0</v>
      </c>
      <c r="AM18" s="442">
        <f t="shared" si="2"/>
        <v>0</v>
      </c>
    </row>
    <row r="19" spans="1:39" s="72" customFormat="1" ht="29.4" customHeight="1" x14ac:dyDescent="0.3">
      <c r="A19" s="72" t="s">
        <v>212</v>
      </c>
      <c r="B19" s="448">
        <f>500001-B18</f>
        <v>500001</v>
      </c>
      <c r="E19" s="171" t="s">
        <v>213</v>
      </c>
      <c r="F19" s="449">
        <f>'Výpočet ceny distribuce'!B36</f>
        <v>0</v>
      </c>
      <c r="G19" s="450">
        <f>F19/24</f>
        <v>0</v>
      </c>
      <c r="I19" s="138" t="s">
        <v>127</v>
      </c>
      <c r="J19" s="445">
        <f>'Výpočet ceny distribuce'!C17</f>
        <v>0</v>
      </c>
      <c r="K19" s="125">
        <f t="shared" si="8"/>
        <v>519</v>
      </c>
      <c r="L19" s="125" t="str">
        <f t="shared" si="3"/>
        <v>do 200 000</v>
      </c>
      <c r="M19" s="125"/>
      <c r="N19" s="163">
        <f t="shared" si="9"/>
        <v>44562</v>
      </c>
      <c r="O19" s="163">
        <f t="shared" si="10"/>
        <v>44592</v>
      </c>
      <c r="P19" s="164">
        <f t="shared" si="11"/>
        <v>0.4</v>
      </c>
      <c r="Q19" s="127"/>
      <c r="R19" s="127"/>
      <c r="S19" s="127"/>
      <c r="T19" s="127"/>
      <c r="U19" s="127"/>
      <c r="V19" s="168"/>
      <c r="W19" s="129"/>
      <c r="X19" s="117">
        <f>IF(H10="ANO",0,IF(AND($F$5="NGAS",$H$5="dálkovod"),AA19,IF(AND($F$5="NGAS",$H$5="místní síť"),AD19,IF(AND($F$5="EON",$H$5="dálkovod"),AG19,AJ19))))</f>
        <v>207.58376999999999</v>
      </c>
      <c r="Y19" s="118">
        <f>IF(H10="ANO",0,IF(AND($F$5="NGAS",$H$5="dálkovod"),AB19,IF(AND($F$5="NGAS",$H$5="místní síť"),AE19,IF(AND($F$5="EON",$H$5="dálkovod"),AH19,AK19))))</f>
        <v>0</v>
      </c>
      <c r="Z19" s="132"/>
      <c r="AA19" s="120">
        <f t="shared" si="4"/>
        <v>207.58376999999999</v>
      </c>
      <c r="AB19" s="121">
        <f t="shared" si="14"/>
        <v>0</v>
      </c>
      <c r="AC19" s="122"/>
      <c r="AD19" s="120">
        <f t="shared" si="5"/>
        <v>248.57266999999999</v>
      </c>
      <c r="AE19" s="121">
        <f t="shared" si="15"/>
        <v>0</v>
      </c>
      <c r="AF19" s="169"/>
      <c r="AG19" s="120">
        <f t="shared" si="6"/>
        <v>275.28746000000001</v>
      </c>
      <c r="AH19" s="121">
        <f t="shared" si="12"/>
        <v>0</v>
      </c>
      <c r="AI19" s="122"/>
      <c r="AJ19" s="120">
        <f t="shared" si="7"/>
        <v>325.83706000000001</v>
      </c>
      <c r="AK19" s="121">
        <f t="shared" si="13"/>
        <v>0</v>
      </c>
      <c r="AM19" s="442">
        <f t="shared" si="2"/>
        <v>0</v>
      </c>
    </row>
    <row r="20" spans="1:39" s="72" customFormat="1" ht="15.6" x14ac:dyDescent="0.3">
      <c r="A20" s="72" t="s">
        <v>214</v>
      </c>
      <c r="B20" s="451">
        <f>B19*1000/31/24/10.632</f>
        <v>63209.589431782326</v>
      </c>
      <c r="E20" s="70" t="s">
        <v>215</v>
      </c>
      <c r="F20" s="172">
        <f>IF(OR($F$14="",$F$14=0),1,($F$19/$F$14)-100%)</f>
        <v>1</v>
      </c>
      <c r="G20" s="173"/>
      <c r="I20" s="138" t="s">
        <v>128</v>
      </c>
      <c r="J20" s="445">
        <f>'Výpočet ceny distribuce'!C18</f>
        <v>0</v>
      </c>
      <c r="K20" s="125">
        <f t="shared" si="8"/>
        <v>519</v>
      </c>
      <c r="L20" s="125" t="str">
        <f t="shared" si="3"/>
        <v>do 200 000</v>
      </c>
      <c r="M20" s="125"/>
      <c r="N20" s="163">
        <f t="shared" si="9"/>
        <v>44562</v>
      </c>
      <c r="O20" s="163">
        <f t="shared" si="10"/>
        <v>44592</v>
      </c>
      <c r="P20" s="164">
        <f t="shared" si="11"/>
        <v>0.4</v>
      </c>
      <c r="Q20" s="127"/>
      <c r="R20" s="127"/>
      <c r="S20" s="127"/>
      <c r="T20" s="127"/>
      <c r="U20" s="127"/>
      <c r="V20" s="168"/>
      <c r="W20" s="129"/>
      <c r="X20" s="117">
        <f>IF(H10="ANO",0,IF(AND($F$5="NGAS",$H$5="dálkovod"),AA20,IF(AND($F$5="NGAS",$H$5="místní síť"),AD20,IF(AND($F$5="EON",$H$5="dálkovod"),AG20,AJ20))))</f>
        <v>207.58376999999999</v>
      </c>
      <c r="Y20" s="174">
        <f>IF(H10="ANO",0,IF(AND($F$5="NGAS",$H$5="dálkovod"),AB20,IF(AND($F$5="NGAS",$H$5="místní síť"),AE20,IF(AND($F$5="EON",$H$5="dálkovod"),AH20,AK20))))</f>
        <v>0</v>
      </c>
      <c r="Z20" s="132"/>
      <c r="AA20" s="120">
        <f t="shared" si="4"/>
        <v>207.58376999999999</v>
      </c>
      <c r="AB20" s="175">
        <f t="shared" si="14"/>
        <v>0</v>
      </c>
      <c r="AC20" s="176"/>
      <c r="AD20" s="120">
        <f t="shared" si="5"/>
        <v>248.57266999999999</v>
      </c>
      <c r="AE20" s="175">
        <f t="shared" si="15"/>
        <v>0</v>
      </c>
      <c r="AF20" s="169"/>
      <c r="AG20" s="120">
        <f t="shared" si="6"/>
        <v>275.28746000000001</v>
      </c>
      <c r="AH20" s="175">
        <f t="shared" si="12"/>
        <v>0</v>
      </c>
      <c r="AI20" s="176"/>
      <c r="AJ20" s="120">
        <f t="shared" si="7"/>
        <v>325.83706000000001</v>
      </c>
      <c r="AK20" s="175">
        <f t="shared" si="13"/>
        <v>0</v>
      </c>
      <c r="AM20" s="442">
        <f t="shared" si="2"/>
        <v>0</v>
      </c>
    </row>
    <row r="21" spans="1:39" s="72" customFormat="1" ht="15.6" x14ac:dyDescent="0.3">
      <c r="E21" s="70" t="s">
        <v>216</v>
      </c>
      <c r="F21" s="70">
        <f>IF($F$20&gt;3.8%,$F$19-$F$16,0)</f>
        <v>0</v>
      </c>
      <c r="G21" s="110"/>
      <c r="I21" s="138" t="s">
        <v>217</v>
      </c>
      <c r="J21" s="167"/>
      <c r="K21" s="125">
        <f t="shared" si="8"/>
        <v>519</v>
      </c>
      <c r="L21" s="125" t="str">
        <f t="shared" si="3"/>
        <v>do 200 000</v>
      </c>
      <c r="M21" s="125"/>
      <c r="N21" s="163">
        <f t="shared" si="9"/>
        <v>44562</v>
      </c>
      <c r="O21" s="163">
        <f t="shared" si="10"/>
        <v>44592</v>
      </c>
      <c r="P21" s="164">
        <f t="shared" si="11"/>
        <v>0.4</v>
      </c>
      <c r="Q21" s="127"/>
      <c r="R21" s="127"/>
      <c r="S21" s="127"/>
      <c r="T21" s="127"/>
      <c r="U21" s="127"/>
      <c r="V21" s="168"/>
      <c r="W21" s="129"/>
      <c r="X21" s="117">
        <f>IF(H10="ANO",0,IF(AND($F$5="NGAS",$H$5="dálkovod"),AA21,IF(AND($F$5="NGAS",$H$5="místní síť"),AD21,IF(AND($F$5="EON",$H$5="dálkovod"),AG21,AJ21))))</f>
        <v>207.58376999999999</v>
      </c>
      <c r="Y21" s="174">
        <f>IF(H10="ANO",0,IF(AND($F$5="NGAS",$H$5="dálkovod"),AB21,IF(AND($F$5="NGAS",$H$5="místní síť"),AE21,IF(AND($F$5="EON",$H$5="dálkovod"),AH21,AK21))))</f>
        <v>0</v>
      </c>
      <c r="Z21" s="132"/>
      <c r="AA21" s="120">
        <f t="shared" si="4"/>
        <v>207.58376999999999</v>
      </c>
      <c r="AB21" s="175">
        <f t="shared" si="14"/>
        <v>0</v>
      </c>
      <c r="AC21" s="176"/>
      <c r="AD21" s="120">
        <f t="shared" si="5"/>
        <v>248.57266999999999</v>
      </c>
      <c r="AE21" s="175">
        <f t="shared" si="15"/>
        <v>0</v>
      </c>
      <c r="AF21" s="169"/>
      <c r="AG21" s="120">
        <f t="shared" si="6"/>
        <v>275.28746000000001</v>
      </c>
      <c r="AH21" s="175">
        <f t="shared" si="12"/>
        <v>0</v>
      </c>
      <c r="AI21" s="176"/>
      <c r="AJ21" s="120">
        <f t="shared" si="7"/>
        <v>325.83706000000001</v>
      </c>
      <c r="AK21" s="175">
        <f t="shared" si="13"/>
        <v>0</v>
      </c>
      <c r="AM21" s="442">
        <f t="shared" si="2"/>
        <v>0</v>
      </c>
    </row>
    <row r="22" spans="1:39" s="72" customFormat="1" ht="15.6" x14ac:dyDescent="0.3">
      <c r="D22" s="177"/>
      <c r="E22" s="70" t="s">
        <v>218</v>
      </c>
      <c r="F22" s="70">
        <f>IF($F$20&gt;3.8%,$F$19-F14,0)</f>
        <v>0</v>
      </c>
      <c r="G22" s="110"/>
      <c r="I22" s="138" t="s">
        <v>219</v>
      </c>
      <c r="J22" s="167"/>
      <c r="K22" s="125">
        <f t="shared" si="8"/>
        <v>519</v>
      </c>
      <c r="L22" s="125" t="str">
        <f t="shared" si="3"/>
        <v>do 200 000</v>
      </c>
      <c r="M22" s="125"/>
      <c r="N22" s="163">
        <f t="shared" si="9"/>
        <v>44562</v>
      </c>
      <c r="O22" s="163">
        <f t="shared" si="10"/>
        <v>44592</v>
      </c>
      <c r="P22" s="164">
        <f t="shared" si="11"/>
        <v>0.4</v>
      </c>
      <c r="Q22" s="127"/>
      <c r="R22" s="127"/>
      <c r="S22" s="127"/>
      <c r="T22" s="127"/>
      <c r="U22" s="127"/>
      <c r="V22" s="168"/>
      <c r="W22" s="129"/>
      <c r="X22" s="117">
        <f>IF(H10="ANO",0,IF(AND($F$5="NGAS",$H$5="dálkovod"),AA22,IF(AND($F$5="NGAS",$H$5="místní síť"),AD22,IF(AND($F$5="EON",$H$5="dálkovod"),AG22,AJ22))))</f>
        <v>207.58376999999999</v>
      </c>
      <c r="Y22" s="174">
        <f>IF(H10="ANO",0,IF(AND($F$5="NGAS",$H$5="dálkovod"),AB22,IF(AND($F$5="NGAS",$H$5="místní síť"),AE22,IF(AND($F$5="EON",$H$5="dálkovod"),AH22,AK22))))</f>
        <v>0</v>
      </c>
      <c r="Z22" s="132"/>
      <c r="AA22" s="120">
        <f t="shared" si="4"/>
        <v>207.58376999999999</v>
      </c>
      <c r="AB22" s="175">
        <f t="shared" si="14"/>
        <v>0</v>
      </c>
      <c r="AC22" s="176"/>
      <c r="AD22" s="120">
        <f t="shared" si="5"/>
        <v>248.57266999999999</v>
      </c>
      <c r="AE22" s="175">
        <f t="shared" si="15"/>
        <v>0</v>
      </c>
      <c r="AF22" s="169"/>
      <c r="AG22" s="120">
        <f t="shared" si="6"/>
        <v>275.28746000000001</v>
      </c>
      <c r="AH22" s="175">
        <f t="shared" si="12"/>
        <v>0</v>
      </c>
      <c r="AI22" s="176"/>
      <c r="AJ22" s="120">
        <f t="shared" si="7"/>
        <v>325.83706000000001</v>
      </c>
      <c r="AK22" s="175">
        <f t="shared" si="13"/>
        <v>0</v>
      </c>
      <c r="AM22" s="442">
        <f t="shared" si="2"/>
        <v>0</v>
      </c>
    </row>
    <row r="23" spans="1:39" s="72" customFormat="1" ht="15.6" x14ac:dyDescent="0.3">
      <c r="D23" s="177"/>
      <c r="E23" s="70" t="s">
        <v>220</v>
      </c>
      <c r="F23" s="178" t="s">
        <v>240</v>
      </c>
      <c r="G23" s="71"/>
      <c r="I23" s="138" t="s">
        <v>222</v>
      </c>
      <c r="J23" s="167"/>
      <c r="K23" s="125">
        <f t="shared" si="8"/>
        <v>519</v>
      </c>
      <c r="L23" s="125" t="str">
        <f t="shared" si="3"/>
        <v>do 200 000</v>
      </c>
      <c r="M23" s="125"/>
      <c r="N23" s="163">
        <f t="shared" si="9"/>
        <v>44562</v>
      </c>
      <c r="O23" s="163">
        <f t="shared" si="10"/>
        <v>44592</v>
      </c>
      <c r="P23" s="164">
        <f t="shared" si="11"/>
        <v>0.4</v>
      </c>
      <c r="Q23" s="127"/>
      <c r="R23" s="127"/>
      <c r="S23" s="127"/>
      <c r="T23" s="127"/>
      <c r="U23" s="127"/>
      <c r="V23" s="168"/>
      <c r="W23" s="129"/>
      <c r="X23" s="117">
        <f>IF(H10="ANO",0,IF(AND($F$5="NGAS",$H$5="dálkovod"),AA23,IF(AND($F$5="NGAS",$H$5="místní síť"),AD23,IF(AND($F$5="EON",$H$5="dálkovod"),AG23,AJ23))))</f>
        <v>207.58376999999999</v>
      </c>
      <c r="Y23" s="174">
        <f>IF(H10="ANO",0,IF(AND($F$5="NGAS",$H$5="dálkovod"),AB23,IF(AND($F$5="NGAS",$H$5="místní síť"),AE23,IF(AND($F$5="EON",$H$5="dálkovod"),AH23,AK23))))</f>
        <v>0</v>
      </c>
      <c r="Z23" s="132"/>
      <c r="AA23" s="120">
        <f t="shared" si="4"/>
        <v>207.58376999999999</v>
      </c>
      <c r="AB23" s="175">
        <f t="shared" si="14"/>
        <v>0</v>
      </c>
      <c r="AC23" s="176"/>
      <c r="AD23" s="120">
        <f t="shared" si="5"/>
        <v>248.57266999999999</v>
      </c>
      <c r="AE23" s="175">
        <f t="shared" si="15"/>
        <v>0</v>
      </c>
      <c r="AF23" s="169"/>
      <c r="AG23" s="120">
        <f t="shared" si="6"/>
        <v>275.28746000000001</v>
      </c>
      <c r="AH23" s="175">
        <f t="shared" si="12"/>
        <v>0</v>
      </c>
      <c r="AI23" s="176"/>
      <c r="AJ23" s="120">
        <f t="shared" si="7"/>
        <v>325.83706000000001</v>
      </c>
      <c r="AK23" s="175">
        <f t="shared" si="13"/>
        <v>0</v>
      </c>
      <c r="AM23" s="442">
        <f t="shared" si="2"/>
        <v>0</v>
      </c>
    </row>
    <row r="24" spans="1:39" s="72" customFormat="1" ht="15.6" x14ac:dyDescent="0.3">
      <c r="D24" s="177"/>
      <c r="E24" s="71"/>
      <c r="F24" s="71"/>
      <c r="G24" s="71"/>
      <c r="I24" s="138" t="s">
        <v>223</v>
      </c>
      <c r="J24" s="167"/>
      <c r="K24" s="125">
        <f t="shared" si="8"/>
        <v>519</v>
      </c>
      <c r="L24" s="125" t="str">
        <f t="shared" si="3"/>
        <v>do 200 000</v>
      </c>
      <c r="M24" s="125"/>
      <c r="N24" s="163">
        <f t="shared" si="9"/>
        <v>44562</v>
      </c>
      <c r="O24" s="163">
        <f t="shared" si="10"/>
        <v>44592</v>
      </c>
      <c r="P24" s="164">
        <f t="shared" si="11"/>
        <v>0.4</v>
      </c>
      <c r="Q24" s="127"/>
      <c r="R24" s="127"/>
      <c r="S24" s="127"/>
      <c r="T24" s="127"/>
      <c r="U24" s="127"/>
      <c r="V24" s="168"/>
      <c r="W24" s="129"/>
      <c r="X24" s="117">
        <f>IF(H10="ANO",0,IF(AND($F$5="NGAS",$H$5="dálkovod"),AA24,IF(AND($F$5="NGAS",$H$5="místní síť"),AD24,IF(AND($F$5="EON",$H$5="dálkovod"),AG24,AJ24))))</f>
        <v>207.58376999999999</v>
      </c>
      <c r="Y24" s="174">
        <f>IF(H10="ANO",0,IF(AND($F$5="NGAS",$H$5="dálkovod"),AB24,IF(AND($F$5="NGAS",$H$5="místní síť"),AE24,IF(AND($F$5="EON",$H$5="dálkovod"),AH24,AK24))))</f>
        <v>0</v>
      </c>
      <c r="Z24" s="132"/>
      <c r="AA24" s="120">
        <f t="shared" si="4"/>
        <v>207.58376999999999</v>
      </c>
      <c r="AB24" s="175">
        <f t="shared" si="14"/>
        <v>0</v>
      </c>
      <c r="AC24" s="176"/>
      <c r="AD24" s="120">
        <f t="shared" si="5"/>
        <v>248.57266999999999</v>
      </c>
      <c r="AE24" s="175">
        <f t="shared" si="15"/>
        <v>0</v>
      </c>
      <c r="AF24" s="169"/>
      <c r="AG24" s="120">
        <f t="shared" si="6"/>
        <v>275.28746000000001</v>
      </c>
      <c r="AH24" s="175">
        <f t="shared" si="12"/>
        <v>0</v>
      </c>
      <c r="AI24" s="176"/>
      <c r="AJ24" s="120">
        <f t="shared" si="7"/>
        <v>325.83706000000001</v>
      </c>
      <c r="AK24" s="175">
        <f t="shared" si="13"/>
        <v>0</v>
      </c>
      <c r="AM24" s="442">
        <f t="shared" si="2"/>
        <v>0</v>
      </c>
    </row>
    <row r="25" spans="1:39" s="72" customFormat="1" ht="16.2" thickBot="1" x14ac:dyDescent="0.35">
      <c r="D25" s="177"/>
      <c r="E25" s="71"/>
      <c r="F25" s="71"/>
      <c r="G25" s="71"/>
      <c r="I25" s="179" t="s">
        <v>224</v>
      </c>
      <c r="J25" s="180"/>
      <c r="K25" s="181">
        <f t="shared" si="8"/>
        <v>519</v>
      </c>
      <c r="L25" s="181" t="str">
        <f t="shared" si="3"/>
        <v>do 200 000</v>
      </c>
      <c r="M25" s="181"/>
      <c r="N25" s="182">
        <f t="shared" si="9"/>
        <v>44562</v>
      </c>
      <c r="O25" s="183">
        <f t="shared" si="10"/>
        <v>44592</v>
      </c>
      <c r="P25" s="164">
        <f t="shared" si="11"/>
        <v>0.4</v>
      </c>
      <c r="Q25" s="184"/>
      <c r="R25" s="184"/>
      <c r="S25" s="184"/>
      <c r="T25" s="184"/>
      <c r="U25" s="184"/>
      <c r="V25" s="185"/>
      <c r="W25" s="186"/>
      <c r="X25" s="187">
        <f>IF(H10="ANO",0,IF(AND($F$5="NGAS",$H$5="dálkovod"),AA25,IF(AND($F$5="NGAS",$H$5="místní síť"),AD25,IF(AND($F$5="EON",$H$5="dálkovod"),AG25,AJ25))))</f>
        <v>207.58376999999999</v>
      </c>
      <c r="Y25" s="188">
        <f>IF(H10="ANO",0,IF(AND($F$5="NGAS",$H$5="dálkovod"),AB25,IF(AND($F$5="NGAS",$H$5="místní síť"),AE25,IF(AND($F$5="EON",$H$5="dálkovod"),AH25,AK25))))</f>
        <v>0</v>
      </c>
      <c r="Z25" s="189"/>
      <c r="AA25" s="190">
        <f t="shared" si="4"/>
        <v>207.58376999999999</v>
      </c>
      <c r="AB25" s="191">
        <f t="shared" si="14"/>
        <v>0</v>
      </c>
      <c r="AC25" s="192"/>
      <c r="AD25" s="190">
        <f t="shared" si="5"/>
        <v>248.57266999999999</v>
      </c>
      <c r="AE25" s="191">
        <f t="shared" si="15"/>
        <v>0</v>
      </c>
      <c r="AF25" s="193"/>
      <c r="AG25" s="190">
        <f t="shared" si="6"/>
        <v>275.28746000000001</v>
      </c>
      <c r="AH25" s="191">
        <f t="shared" si="12"/>
        <v>0</v>
      </c>
      <c r="AI25" s="192"/>
      <c r="AJ25" s="190">
        <f t="shared" si="7"/>
        <v>325.83706000000001</v>
      </c>
      <c r="AK25" s="191">
        <f t="shared" si="13"/>
        <v>0</v>
      </c>
      <c r="AM25" s="442">
        <f t="shared" si="2"/>
        <v>0</v>
      </c>
    </row>
    <row r="26" spans="1:39" s="72" customFormat="1" ht="18" customHeight="1" x14ac:dyDescent="0.3">
      <c r="D26" s="177"/>
      <c r="E26" s="71"/>
      <c r="F26" s="71"/>
      <c r="G26" s="690" t="s">
        <v>225</v>
      </c>
      <c r="H26" s="194">
        <f>IF(AND($F$18&gt;$N$26-1,$F$18&lt;$O$26+1),$J$26,0)</f>
        <v>0</v>
      </c>
      <c r="I26" s="98" t="s">
        <v>226</v>
      </c>
      <c r="J26" s="452">
        <f>'Výpočet ceny distribuce'!C19</f>
        <v>0</v>
      </c>
      <c r="K26" s="195">
        <f>IF(OR(MONTH($N26)=MONTH($F$7),MONTH($O26)=MONTH($G$7)),IF($F$11=0,IF(SUM($J$13:$J$25)+SUM($Q26:$U26)&lt;$E$56,$E$56,SUM($J$13:$J$25)+SUM($Q26:$U26)),IF($H$16+SUM($J$16:$J$25)+SUM($Q26:$U26)&lt;$E$56,$E$56,($H$16+SUM($J$16:$J$25)+SUM($Q26:$U26)))),0)</f>
        <v>519</v>
      </c>
      <c r="L26" s="195" t="str">
        <f t="shared" si="3"/>
        <v>do 200 000</v>
      </c>
      <c r="M26" s="195"/>
      <c r="N26" s="453">
        <f>'Výpočet ceny distribuce'!A21</f>
        <v>0</v>
      </c>
      <c r="O26" s="453">
        <f>'Výpočet ceny distribuce'!B21</f>
        <v>0</v>
      </c>
      <c r="P26" s="196">
        <f>VLOOKUP($F$6,$E$60:$I$71,5,FALSE)</f>
        <v>0.72</v>
      </c>
      <c r="Q26" s="197">
        <f>IF(OR(MONTH($N26)=MONTH($F$7),MONTH($O26)=MONTH($G$7)),$J$26,0)</f>
        <v>0</v>
      </c>
      <c r="R26" s="197">
        <f>IF(OR(MONTH($N27)=MONTH($F$7),MONTH($O27)=MONTH($G$7)),IF(AND($N$26&lt;=$O$27,$N$26&gt;=$N$27),$J$27,0),0)</f>
        <v>0</v>
      </c>
      <c r="S26" s="197">
        <f>IF(OR(MONTH($N28)=MONTH($F$7),MONTH($O28)=MONTH($G$7)),IF(AND($N$26&lt;=$O$28,$N$26&gt;=$N$28),$J$28,0),0)</f>
        <v>0</v>
      </c>
      <c r="T26" s="197">
        <f>IF(OR(MONTH($N29)=MONTH($F$7),MONTH($O29)=MONTH($G$7)),IF(AND($N$26&lt;=$O$29,$N$26&gt;=$N$29),$J$29,0),0)</f>
        <v>0</v>
      </c>
      <c r="U26" s="197">
        <f>IF(OR(MONTH($N30)=MONTH($F$7),MONTH($O30)=MONTH($G$7)),IF(AND($N$26&lt;=$O$30,$N$26&gt;=$N$30),$J$30,0),0)</f>
        <v>0</v>
      </c>
      <c r="V26" s="198">
        <f>IF(ROUND(IF(O26&gt;$G$7,$G$7-(IF($N26&lt;$F$7,$F$7,$N26))+1,O26-IF($N26&lt;$F$7,$F$7,$N26)+1)/VLOOKUP($F$6,$E$60:$F$71,2,FALSE)*P26,5)&lt;0,0,ROUND(IF(O26&gt;$G$7,$G$7-(IF($N26&lt;$F$7,$F$7,$N26))+1,O26-IF($N26&lt;$F$7,$F$7,$N26)+1)/VLOOKUP($F$6,$E$60:$F$71,2,FALSE)*P26,5))</f>
        <v>0</v>
      </c>
      <c r="W26" s="199">
        <f>IF(AND($F$5="NGAS",$H$5="dálkovod"),Z26,IF(AND($F$5="NGAS",$H$5="místní síť"),AC26,IF(AND($F$5="EON",$H$5="dálkovod"),AF26,AI26)))</f>
        <v>0</v>
      </c>
      <c r="X26" s="103">
        <f>IF(H10="ANO",0,IF(AND($F$5="NGAS",$H$5="dálkovod"),AA26,IF(AND($F$5="NGAS",$H$5="místní síť"),AD26,IF(AND($F$5="EON",$H$5="dálkovod"),AG26,AJ26))))</f>
        <v>0</v>
      </c>
      <c r="Y26" s="200">
        <f>IF(H10="ANO",0,IF(AND($F$5="NGAS",$H$5="dálkovod"),AB26,IF(AND($F$5="NGAS",$H$5="místní síť"),AE26,IF(AND($F$5="EON",$H$5="dálkovod"),AH26,AK26))))</f>
        <v>0</v>
      </c>
      <c r="Z26" s="201"/>
      <c r="AA26" s="106">
        <f>IF($V26=0,0,ROUND(IF($L26="&gt; 600 000",((($G$45+$I$45*LN($K26))*200000)+(($N$53*10.69*2.4)/1000*400000)+(($N$53*10.69*1.59)/1000*($K26-600000)))/$K26,IF($L26="&gt; 200 000",((($G$45+$I$45*LN($K26))*200000)+(($N$53*10.69*2.4)/1000*($K26-200000)))/$K26,$G$45+$I$45*LN($K26))),5))</f>
        <v>0</v>
      </c>
      <c r="AB26" s="202">
        <f>ROUND(AA26*V26*J26,2)</f>
        <v>0</v>
      </c>
      <c r="AC26" s="201"/>
      <c r="AD26" s="106">
        <f>IF($V26=0,0,ROUND(IF($L26="&gt; 600 000",((($L$45+$N$45*LN($K26))*200000)+(($N$53*10.69*3.29)/1000*400000)+(($N$53*10.69*2.69)/1000*($K26-600000)))/$K26,IF($L26="&gt; 200 000",((($L$45+$N$45*LN($K26))*200000)+(($N$53*10.69*3.29)/1000*($K26-200000)))/$K26,$L$45+$N$45*LN($K26))),5))</f>
        <v>0</v>
      </c>
      <c r="AE26" s="202">
        <f>ROUND(AD26*V26*J26,2)</f>
        <v>0</v>
      </c>
      <c r="AF26" s="201"/>
      <c r="AG26" s="106">
        <f>IF($V26=0,0,ROUND(IF($L26="&gt; 600 000",((($G$46+$I$46*LN($K26))*200000)+(($N$53*10.69*2.4)/1000*400000)+(($N$53*10.69*1.59)/1000*($K26-600000)))/$K26,IF($L26="&gt; 200 000",((($G$46+$I$46*LN($K26))*200000)+(($N$53*10.69*2.4)/1000*($K26-200000)))/$K26,$G$46+$I$46*LN($K26))),5))</f>
        <v>0</v>
      </c>
      <c r="AH26" s="202">
        <f>ROUND(AG26*V26*J26,2)</f>
        <v>0</v>
      </c>
      <c r="AI26" s="201"/>
      <c r="AJ26" s="106">
        <f>IF($V26=0,0,ROUND(IF($L26="&gt; 600 000",((($L$46+$N$46*LN($K26))*200000)+(($N$53*10.69*3.29)/1000*400000)+(($N$53*10.69*2.69)/1000*($K26-600000)))/$K26,IF($L26="&gt; 200 000",((($L$46+$N$46*LN($K26))*200000)+(($N$53*10.69*3.29)/1000*($K26-200000)))/$K26,$L$46+$N$46*LN($K26))),5))</f>
        <v>0</v>
      </c>
      <c r="AK26" s="200">
        <f>ROUND(AJ26*V26*J26,2)</f>
        <v>0</v>
      </c>
      <c r="AM26" s="442">
        <f t="shared" si="2"/>
        <v>0</v>
      </c>
    </row>
    <row r="27" spans="1:39" s="72" customFormat="1" ht="19.5" customHeight="1" x14ac:dyDescent="0.3">
      <c r="E27" s="71"/>
      <c r="F27" s="71"/>
      <c r="G27" s="690"/>
      <c r="H27" s="194">
        <f>IF(AND($F$18&gt;$N$27-1,$F$18&lt;$O$27+1),$J$27,0)</f>
        <v>0</v>
      </c>
      <c r="I27" s="138" t="s">
        <v>227</v>
      </c>
      <c r="J27" s="454">
        <f>'Výpočet ceny distribuce'!C22</f>
        <v>0</v>
      </c>
      <c r="K27" s="195">
        <f>IF(OR(MONTH($N27)=MONTH($F$7),MONTH($O27)=MONTH($G$7)),IF($F$11=0,IF(SUM($J$13:$J$25)+SUM($Q27:$U27)&lt;$E$56,$E$56,SUM($J$13:$J$25)+SUM($Q27:$U27)),IF($H$16+SUM($J$16:$J$25)+SUM($Q27:$U27)&lt;$E$56,$E$56,($H$16+SUM($J$16:$J$25)+SUM($Q27:$U27)))),0)</f>
        <v>519</v>
      </c>
      <c r="L27" s="125" t="str">
        <f t="shared" si="3"/>
        <v>do 200 000</v>
      </c>
      <c r="M27" s="203"/>
      <c r="N27" s="455">
        <f>'Výpočet ceny distribuce'!A24</f>
        <v>0</v>
      </c>
      <c r="O27" s="455">
        <f>'Výpočet ceny distribuce'!B24</f>
        <v>0</v>
      </c>
      <c r="P27" s="204">
        <f>VLOOKUP($F$6,$E$60:$I$71,5,FALSE)</f>
        <v>0.72</v>
      </c>
      <c r="Q27" s="205">
        <f>IF(OR(MONTH($N26)=MONTH($F$7),MONTH($O26)=MONTH($G$7)),IF(AND($N$27&lt;=$O$26,$N$27&gt;=$N$26),$J$26,0),0)</f>
        <v>0</v>
      </c>
      <c r="R27" s="205">
        <f>IF(OR(MONTH($N27)=MONTH($F$7),MONTH($O27)=MONTH($G$7)),$J$27,0)</f>
        <v>0</v>
      </c>
      <c r="S27" s="205">
        <f>IF(OR(MONTH($N28)=MONTH($F$7),MONTH($O28)=MONTH($G$7)),IF(AND($N$27&lt;=$O$28,$N$27&gt;=$N$28),$J$28,0),0)</f>
        <v>0</v>
      </c>
      <c r="T27" s="205">
        <f>IF(OR(MONTH($N29)=MONTH($F$7),MONTH($O29)=MONTH($G$7)),IF(AND($N$27&lt;=$O$29,$N$27&gt;=$N$29),$J$29,0),0)</f>
        <v>0</v>
      </c>
      <c r="U27" s="205">
        <f>IF(OR(MONTH($N30)=MONTH($F$7),MONTH($O30)=MONTH($G$7)),IF(AND($N$27&lt;=$O$30,$N$27&gt;=$N$30),$J$30,0),0)</f>
        <v>0</v>
      </c>
      <c r="V27" s="206">
        <f>IF(ROUND(IF(O27&gt;$G$7,$G$7-(IF($N27&lt;$F$7,$F$7,$N27))+1,O27-IF($N27&lt;$F$7,$F$7,$N27)+1)/VLOOKUP($F$6,$E$60:$F$71,2,FALSE)*P27,5)&lt;0,0,ROUND(IF(O27&gt;$G$7,$G$7-(IF($N27&lt;$F$7,$F$7,$N27))+1,O27-IF($N27&lt;$F$7,$F$7,$N27)+1)/VLOOKUP($F$6,$E$60:$F$71,2,FALSE)*P27,5))</f>
        <v>0</v>
      </c>
      <c r="W27" s="207">
        <f>IF(AND($F$5="NGAS",$H$5="dálkovod"),Z27,IF(AND($F$5="NGAS",$H$5="místní síť"),AC27,IF(AND($F$5="EON",$H$5="dálkovod"),AF27,AI27)))</f>
        <v>0</v>
      </c>
      <c r="X27" s="117">
        <f>IF(H10="ANO",0,IF(AND($F$5="NGAS",$H$5="dálkovod"),AA27,IF(AND($F$5="NGAS",$H$5="místní síť"),AD27,IF(AND($F$5="EON",$H$5="dálkovod"),AG27,AJ27))))</f>
        <v>0</v>
      </c>
      <c r="Y27" s="174">
        <f>IF(H10="ANO",0,IF(AND($F$5="NGAS",$H$5="dálkovod"),AB27,IF(AND($F$5="NGAS",$H$5="místní síť"),AE27,IF(AND($F$5="EON",$H$5="dálkovod"),AH27,AK27))))</f>
        <v>0</v>
      </c>
      <c r="Z27" s="201"/>
      <c r="AA27" s="120">
        <f>IF($V27=0,0,ROUND(IF($L27="&gt; 600 000",((($G$45+$I$45*LN($K27))*200000)+(($N$53*10.69*2.4)/1000*400000)+(($N$53*10.69*1.59)/1000*($K27-600000)))/$K27,IF($L27="&gt; 200 000",((($G$45+$I$45*LN($K27))*200000)+(($N$53*10.69*2.4)/1000*($K27-200000)))/$K27,$G$45+$I$45*LN($K27))),5))</f>
        <v>0</v>
      </c>
      <c r="AB27" s="175">
        <f>ROUND(AA27*V27*J27,2)</f>
        <v>0</v>
      </c>
      <c r="AC27" s="201"/>
      <c r="AD27" s="120">
        <f>IF($V27=0,0,ROUND(IF($L27="&gt; 600 000",((($L$45+$N$45*LN($K27))*200000)+(($N$53*10.69*3.29)/1000*400000)+(($N$53*10.69*2.69)/1000*($K27-600000)))/$K27,IF($L27="&gt; 200 000",((($L$45+$N$45*LN($K27))*200000)+(($N$53*10.69*3.29)/1000*($K27-200000)))/$K27,$L$45+$N$45*LN($K27))),5))</f>
        <v>0</v>
      </c>
      <c r="AE27" s="175">
        <f>ROUND(AD27*V27*J27,2)</f>
        <v>0</v>
      </c>
      <c r="AF27" s="201"/>
      <c r="AG27" s="120">
        <f>IF($V27=0,0,ROUND(IF($L27="&gt; 600 000",((($G$46+$I$46*LN($K27))*200000)+(($N$53*10.69*2.4)/1000*400000)+(($N$53*10.69*1.59)/1000*($K27-600000)))/$K27,IF($L27="&gt; 200 000",((($G$46+$I$46*LN($K27))*200000)+(($N$53*10.69*2.4)/1000*($K27-200000)))/$K27,$G$46+$I$46*LN($K27))),5))</f>
        <v>0</v>
      </c>
      <c r="AH27" s="175">
        <f>ROUND(AG27*V27*J27,2)</f>
        <v>0</v>
      </c>
      <c r="AI27" s="201"/>
      <c r="AJ27" s="120">
        <f>IF($V27=0,0,ROUND(IF($L27="&gt; 600 000",((($L$46+$N$46*LN($K27))*200000)+(($N$53*10.69*3.29)/1000*400000)+(($N$53*10.69*2.69)/1000*($K27-600000)))/$K27,IF($L27="&gt; 200 000",((($L$46+$N$46*LN($K27))*200000)+(($N$53*10.69*3.29)/1000*($K27-200000)))/$K27,$L$46+$N$46*LN($K27))),5))</f>
        <v>0</v>
      </c>
      <c r="AK27" s="174">
        <f>ROUND(AJ27*V27*J27,2)</f>
        <v>0</v>
      </c>
      <c r="AM27" s="442">
        <f t="shared" si="2"/>
        <v>0</v>
      </c>
    </row>
    <row r="28" spans="1:39" s="72" customFormat="1" ht="14.4" customHeight="1" x14ac:dyDescent="0.3">
      <c r="E28" s="691" t="s">
        <v>228</v>
      </c>
      <c r="F28" s="692"/>
      <c r="G28" s="690"/>
      <c r="H28" s="194">
        <f>IF(AND($F$18&gt;$N$28-1,$F$18&lt;$O$28+1),$J$28,0)</f>
        <v>0</v>
      </c>
      <c r="I28" s="138" t="s">
        <v>229</v>
      </c>
      <c r="J28" s="454">
        <f>'Výpočet ceny distribuce'!C25</f>
        <v>0</v>
      </c>
      <c r="K28" s="195">
        <f>IF(OR(MONTH($N28)=MONTH($F$7),MONTH($O28)=MONTH($G$7)),IF($F$11=0,IF(SUM($J$13:$J$25)+SUM($Q28:$U28)&lt;$E$56,$E$56,SUM($J$13:$J$25)+SUM($Q28:$U28)),IF($H$16+SUM($J$16:$J$25)+SUM($Q28:$U28)&lt;$E$56,$E$56,($H$16+SUM($J$16:$J$25)+SUM($Q28:$U28)))),0)</f>
        <v>519</v>
      </c>
      <c r="L28" s="125" t="str">
        <f t="shared" si="3"/>
        <v>do 200 000</v>
      </c>
      <c r="M28" s="125"/>
      <c r="N28" s="455">
        <f>'Výpočet ceny distribuce'!A27</f>
        <v>0</v>
      </c>
      <c r="O28" s="455">
        <f>'Výpočet ceny distribuce'!B27</f>
        <v>0</v>
      </c>
      <c r="P28" s="204">
        <f>VLOOKUP($F$6,$E$60:$I$71,5,FALSE)</f>
        <v>0.72</v>
      </c>
      <c r="Q28" s="205">
        <f>IF(OR(MONTH($N26)=MONTH($F$7),MONTH($O26)=MONTH($G$7)),IF(AND($N$28&lt;=$O$26,$N$28&gt;=$N$26),$J$26,0),0)</f>
        <v>0</v>
      </c>
      <c r="R28" s="205">
        <f>IF(OR(MONTH($N27)=MONTH($F$7),MONTH($O27)=MONTH($G$7)),IF(AND($N$28&lt;=$O$27,$N$28&gt;=$N$27),$J$27,0),0)</f>
        <v>0</v>
      </c>
      <c r="S28" s="205">
        <f>IF(OR(MONTH($N28)=MONTH($F$7),MONTH($O28)=MONTH($G$7)),$J$28,0)</f>
        <v>0</v>
      </c>
      <c r="T28" s="205">
        <f>IF(OR(MONTH($N29)=MONTH($F$7),MONTH($O29)=MONTH($G$7)),IF(AND($N$28&lt;=$O$29,$N$28&gt;=$N$29),$J$29,0),0)</f>
        <v>0</v>
      </c>
      <c r="U28" s="205">
        <f>IF(OR(MONTH($N30)=MONTH($F$7),MONTH($O30)=MONTH($G$7)),IF(AND($N$28&lt;=$O$30,$N$28&gt;=$N$30),$J$30,0),0)</f>
        <v>0</v>
      </c>
      <c r="V28" s="206">
        <f>IF(ROUND(IF(O28&gt;$G$7,$G$7-(IF($N28&lt;$F$7,$F$7,$N28))+1,O28-IF($N28&lt;$F$7,$F$7,$N28)+1)/VLOOKUP($F$6,$E$60:$F$71,2,FALSE)*P28,5)&lt;0,0,ROUND(IF(O28&gt;$G$7,$G$7-(IF($N28&lt;$F$7,$F$7,$N28))+1,O28-IF($N28&lt;$F$7,$F$7,$N28)+1)/VLOOKUP($F$6,$E$60:$F$71,2,FALSE)*P28,5))</f>
        <v>0</v>
      </c>
      <c r="W28" s="207">
        <f>IF(AND($F$5="NGAS",$H$5="dálkovod"),Z28,IF(AND($F$5="NGAS",$H$5="místní síť"),AC28,IF(AND($F$5="EON",$H$5="dálkovod"),AF28,AI28)))</f>
        <v>0</v>
      </c>
      <c r="X28" s="117">
        <f>IF(H10="ANO",0,IF(AND($F$5="NGAS",$H$5="dálkovod"),AA28,IF(AND($F$5="NGAS",$H$5="místní síť"),AD28,IF(AND($F$5="EON",$H$5="dálkovod"),AG28,AJ28))))</f>
        <v>0</v>
      </c>
      <c r="Y28" s="174">
        <f>IF(H10="ANO",0,IF(AND($F$5="NGAS",$H$5="dálkovod"),AB28,IF(AND($F$5="NGAS",$H$5="místní síť"),AE28,IF(AND($F$5="EON",$H$5="dálkovod"),AH28,AK28))))</f>
        <v>0</v>
      </c>
      <c r="Z28" s="201"/>
      <c r="AA28" s="120">
        <f>IF($V28=0,0,ROUND(IF($L28="&gt; 600 000",((($G$45+$I$45*LN($K28))*200000)+(($N$53*10.69*2.4)/1000*400000)+(($N$53*10.69*1.59)/1000*($K28-600000)))/$K28,IF($L28="&gt; 200 000",((($G$45+$I$45*LN($K28))*200000)+(($N$53*10.69*2.4)/1000*($K28-200000)))/$K28,$G$45+$I$45*LN($K28))),5))</f>
        <v>0</v>
      </c>
      <c r="AB28" s="175">
        <f>ROUND(AA28*V28*J28,2)</f>
        <v>0</v>
      </c>
      <c r="AC28" s="201"/>
      <c r="AD28" s="120">
        <f>IF($V28=0,0,ROUND(IF($L28="&gt; 600 000",((($L$45+$N$45*LN($K28))*200000)+(($N$53*10.69*3.29)/1000*400000)+(($N$53*10.69*2.69)/1000*($K28-600000)))/$K28,IF($L28="&gt; 200 000",((($L$45+$N$45*LN($K28))*200000)+(($N$53*10.69*3.29)/1000*($K28-200000)))/$K28,$L$45+$N$45*LN($K28))),5))</f>
        <v>0</v>
      </c>
      <c r="AE28" s="175">
        <f>ROUND(AD28*V28*J28,2)</f>
        <v>0</v>
      </c>
      <c r="AF28" s="201"/>
      <c r="AG28" s="120">
        <f>IF($V28=0,0,ROUND(IF($L28="&gt; 600 000",((($G$46+$I$46*LN($K28))*200000)+(($N$53*10.69*2.4)/1000*400000)+(($N$53*10.69*1.59)/1000*($K28-600000)))/$K28,IF($L28="&gt; 200 000",((($G$46+$I$46*LN($K28))*200000)+(($N$53*10.69*2.4)/1000*($K28-200000)))/$K28,$G$46+$I$46*LN($K28))),5))</f>
        <v>0</v>
      </c>
      <c r="AH28" s="175">
        <f>ROUND(AG28*V28*J28,2)</f>
        <v>0</v>
      </c>
      <c r="AI28" s="201"/>
      <c r="AJ28" s="120">
        <f>IF($V28=0,0,ROUND(IF($L28="&gt; 600 000",((($L$46+$N$46*LN($K28))*200000)+(($N$53*10.69*3.29)/1000*400000)+(($N$53*10.69*2.69)/1000*($K28-600000)))/$K28,IF($L28="&gt; 200 000",((($L$46+$N$46*LN($K28))*200000)+(($N$53*10.69*3.29)/1000*($K28-200000)))/$K28,$L$46+$N$46*LN($K28))),5))</f>
        <v>0</v>
      </c>
      <c r="AK28" s="174">
        <f>ROUND(AJ28*V28*J28,2)</f>
        <v>0</v>
      </c>
      <c r="AM28" s="442">
        <f t="shared" si="2"/>
        <v>0</v>
      </c>
    </row>
    <row r="29" spans="1:39" s="72" customFormat="1" ht="15.6" x14ac:dyDescent="0.3">
      <c r="E29" s="137" t="s">
        <v>199</v>
      </c>
      <c r="F29" s="125">
        <f>H37</f>
        <v>0</v>
      </c>
      <c r="G29" s="690"/>
      <c r="H29" s="194">
        <f>IF(AND($F$18&gt;$N$29-1,$F$18&lt;$O$29+1),$J$29,0)</f>
        <v>0</v>
      </c>
      <c r="I29" s="138" t="s">
        <v>230</v>
      </c>
      <c r="J29" s="454">
        <f>'Výpočet ceny distribuce'!C28</f>
        <v>0</v>
      </c>
      <c r="K29" s="195">
        <f>IF(OR(MONTH($N29)=MONTH($F$7),MONTH($O29)=MONTH($G$7)),IF($F$11=0,IF(SUM($J$13:$J$25)+SUM($Q29:$U29)&lt;$E$56,$E$56,SUM($J$13:$J$25)+SUM($Q29:$U29)),IF($H$16+SUM($J$16:$J$25)+SUM($Q29:$U29)&lt;$E$56,$E$56,($H$16+SUM($J$16:$J$25)+SUM($Q29:$U29)))),0)</f>
        <v>519</v>
      </c>
      <c r="L29" s="125" t="str">
        <f t="shared" si="3"/>
        <v>do 200 000</v>
      </c>
      <c r="M29" s="203"/>
      <c r="N29" s="455">
        <f>'Výpočet ceny distribuce'!A30</f>
        <v>0</v>
      </c>
      <c r="O29" s="455">
        <f>'Výpočet ceny distribuce'!B30</f>
        <v>0</v>
      </c>
      <c r="P29" s="204">
        <f>VLOOKUP($F$6,$E$60:$I$71,5,FALSE)</f>
        <v>0.72</v>
      </c>
      <c r="Q29" s="205">
        <f>IF(OR(MONTH($N26)=MONTH($F$7),MONTH($O26)=MONTH($G$7)),IF(AND($N$29&lt;=$O$26,$N$29&gt;=$N$26),$J$26,0),0)</f>
        <v>0</v>
      </c>
      <c r="R29" s="205">
        <f>IF(OR(MONTH($N27)=MONTH($F$7),MONTH($O27)=MONTH($G$7)),IF(AND($N$29&lt;=$O$27,$N$29&gt;=$N$27),$J$27,0),0)</f>
        <v>0</v>
      </c>
      <c r="S29" s="205">
        <f>IF(OR(MONTH($N28)=MONTH($F$7),MONTH($O28)=MONTH($G$7)),IF(AND($N$29&lt;=$O$28,$N$29&gt;=$N$28),$J$28,0),0)</f>
        <v>0</v>
      </c>
      <c r="T29" s="205">
        <f>IF(OR(MONTH($N29)=MONTH($F$7),MONTH($O29)=MONTH($G$7)),$J$29,0)</f>
        <v>0</v>
      </c>
      <c r="U29" s="205">
        <f>IF(OR(MONTH($N30)=MONTH($F$7),MONTH($O30)=MONTH($G$7)),IF(AND($N$29&lt;=$O$30,$N$29&gt;=$N$30),$J$30,0),0)</f>
        <v>0</v>
      </c>
      <c r="V29" s="206">
        <f>IF(ROUND(IF(O29&gt;$G$7,$G$7-(IF($N29&lt;$F$7,$F$7,$N29))+1,O29-IF($N29&lt;$F$7,$F$7,$N29)+1)/VLOOKUP($F$6,$E$60:$F$71,2,FALSE)*P29,5)&lt;0,0,ROUND(IF(O29&gt;$G$7,$G$7-(IF($N29&lt;$F$7,$F$7,$N29))+1,O29-IF($N29&lt;$F$7,$F$7,$N29)+1)/VLOOKUP($F$6,$E$60:$F$71,2,FALSE)*P29,5))</f>
        <v>0</v>
      </c>
      <c r="W29" s="207">
        <f>IF(AND($F$5="NGAS",$H$5="dálkovod"),Z29,IF(AND($F$5="NGAS",$H$5="místní síť"),AC29,IF(AND($F$5="EON",$H$5="dálkovod"),AF29,AI29)))</f>
        <v>0</v>
      </c>
      <c r="X29" s="117">
        <f>IF(H10="ANO",0,IF(AND($F$5="NGAS",$H$5="dálkovod"),AA29,IF(AND($F$5="NGAS",$H$5="místní síť"),AD29,IF(AND($F$5="EON",$H$5="dálkovod"),AG29,AJ29))))</f>
        <v>0</v>
      </c>
      <c r="Y29" s="174">
        <f>IF(H10="ANO",0,IF(AND($F$5="NGAS",$H$5="dálkovod"),AB29,IF(AND($F$5="NGAS",$H$5="místní síť"),AE29,IF(AND($F$5="EON",$H$5="dálkovod"),AH29,AK29))))</f>
        <v>0</v>
      </c>
      <c r="Z29" s="201"/>
      <c r="AA29" s="120">
        <f>IF($V29=0,0,ROUND(IF($L29="&gt; 600 000",((($G$45+$I$45*LN($K29))*200000)+(($N$53*10.69*2.4)/1000*400000)+(($N$53*10.69*1.59)/1000*($K29-600000)))/$K29,IF($L29="&gt; 200 000",((($G$45+$I$45*LN($K29))*200000)+(($N$53*10.69*2.4)/1000*($K29-200000)))/$K29,$G$45+$I$45*LN($K29))),5))</f>
        <v>0</v>
      </c>
      <c r="AB29" s="175">
        <f>ROUND(AA29*V29*J29,2)</f>
        <v>0</v>
      </c>
      <c r="AC29" s="201"/>
      <c r="AD29" s="120">
        <f>IF($V29=0,0,ROUND(IF($L29="&gt; 600 000",((($L$45+$N$45*LN($K29))*200000)+(($N$53*10.69*3.29)/1000*400000)+(($N$53*10.69*2.69)/1000*($K29-600000)))/$K29,IF($L29="&gt; 200 000",((($L$45+$N$45*LN($K29))*200000)+(($N$53*10.69*3.29)/1000*($K29-200000)))/$K29,$L$45+$N$45*LN($K29))),5))</f>
        <v>0</v>
      </c>
      <c r="AE29" s="175">
        <f>ROUND(AD29*V29*J29,2)</f>
        <v>0</v>
      </c>
      <c r="AF29" s="201"/>
      <c r="AG29" s="120">
        <f>IF($V29=0,0,ROUND(IF($L29="&gt; 600 000",((($G$46+$I$46*LN($K29))*200000)+(($N$53*10.69*2.4)/1000*400000)+(($N$53*10.69*1.59)/1000*($K29-600000)))/$K29,IF($L29="&gt; 200 000",((($G$46+$I$46*LN($K29))*200000)+(($N$53*10.69*2.4)/1000*($K29-200000)))/$K29,$G$46+$I$46*LN($K29))),5))</f>
        <v>0</v>
      </c>
      <c r="AH29" s="175">
        <f>ROUND(AG29*V29*J29,2)</f>
        <v>0</v>
      </c>
      <c r="AI29" s="201"/>
      <c r="AJ29" s="120">
        <f>IF($V29=0,0,ROUND(IF($L29="&gt; 600 000",((($L$46+$N$46*LN($K29))*200000)+(($N$53*10.69*3.29)/1000*400000)+(($N$53*10.69*2.69)/1000*($K29-600000)))/$K29,IF($L29="&gt; 200 000",((($L$46+$N$46*LN($K29))*200000)+(($N$53*10.69*3.29)/1000*($K29-200000)))/$K29,$L$46+$N$46*LN($K29))),5))</f>
        <v>0</v>
      </c>
      <c r="AK29" s="174">
        <f>ROUND(AJ29*V29*J29,2)</f>
        <v>0</v>
      </c>
      <c r="AM29" s="442">
        <f t="shared" si="2"/>
        <v>0</v>
      </c>
    </row>
    <row r="30" spans="1:39" s="72" customFormat="1" ht="16.2" thickBot="1" x14ac:dyDescent="0.35">
      <c r="E30" s="70" t="s">
        <v>202</v>
      </c>
      <c r="F30" s="143">
        <f>$F$29/100*3.8</f>
        <v>0</v>
      </c>
      <c r="G30" s="690"/>
      <c r="H30" s="194">
        <f>IF(AND($F$18&gt;$N$30-1,$F$18&lt;$O$30+1),$J$30,0)</f>
        <v>0</v>
      </c>
      <c r="I30" s="144" t="s">
        <v>231</v>
      </c>
      <c r="J30" s="456">
        <f>'Výpočet ceny distribuce'!C31</f>
        <v>0</v>
      </c>
      <c r="K30" s="195">
        <f>IF(OR(MONTH($N30)=MONTH($F$7),MONTH($O30)=MONTH($G$7)),IF($F$11=0,IF(SUM($J$13:$J$25)+SUM($Q30:$U30)&lt;$E$56,$E$56,SUM($J$13:$J$25)+SUM($Q30:$U30)),IF($H$16+SUM($J$16:$J$25)+SUM($Q30:$U30)&lt;$E$56,$E$56,($H$16+SUM($J$16:$J$25)+SUM($Q30:$U30)))),0)</f>
        <v>519</v>
      </c>
      <c r="L30" s="146" t="str">
        <f t="shared" si="3"/>
        <v>do 200 000</v>
      </c>
      <c r="M30" s="146"/>
      <c r="N30" s="457">
        <f>'Výpočet ceny distribuce'!A33</f>
        <v>0</v>
      </c>
      <c r="O30" s="458">
        <f>'Výpočet ceny distribuce'!B33</f>
        <v>0</v>
      </c>
      <c r="P30" s="208">
        <f>VLOOKUP($F$6,$E$60:$I$71,5,FALSE)</f>
        <v>0.72</v>
      </c>
      <c r="Q30" s="209">
        <f>IF(OR(MONTH($N26)=MONTH($F$7),MONTH($O26)=MONTH($G$7)),IF(AND($N$30&lt;=$O$26,$N$30&gt;=$N$26),$J$26,0),0)</f>
        <v>0</v>
      </c>
      <c r="R30" s="209">
        <f>IF(OR(MONTH($N27)=MONTH($F$7),MONTH($O27)=MONTH($G$7)),IF(AND($N$30&lt;=$O$27,$N$30&gt;=$N$27),$J$27,0),0)</f>
        <v>0</v>
      </c>
      <c r="S30" s="209">
        <f>IF(OR(MONTH($N28)=MONTH($F$7),MONTH($O28)=MONTH($G$7)),IF(AND($N$30&lt;=$O$28,$N$30&gt;=$N$28),$J$28,0),0)</f>
        <v>0</v>
      </c>
      <c r="T30" s="209">
        <f>IF(OR(MONTH($N29)=MONTH($F$7),MONTH($O29)=MONTH($G$7)),IF(AND($N$30&lt;=$O$29,$N$30&gt;=$N$29),$J$29,0),0)</f>
        <v>0</v>
      </c>
      <c r="U30" s="209">
        <f>IF(OR(MONTH($N30)=MONTH($F$7),MONTH($O30)=MONTH($G$7)),$J$30,0)</f>
        <v>0</v>
      </c>
      <c r="V30" s="210">
        <f>IF(ROUND(IF(O30&gt;$G$7,$G$7-(IF($N30&lt;$F$7,$F$7,$N30))+1,O30-IF($N30&lt;$F$7,$F$7,$N30)+1)/VLOOKUP($F$6,$E$60:$F$71,2,FALSE)*P30,5)&lt;0,0,ROUND(IF(O30&gt;$G$7,$G$7-(IF($N30&lt;$F$7,$F$7,$N30))+1,O30-IF($N30&lt;$F$7,$F$7,$N30)+1)/VLOOKUP($F$6,$E$60:$F$71,2,FALSE)*P30,5))</f>
        <v>0</v>
      </c>
      <c r="W30" s="211">
        <f>IF(H10="ANO",0,IF(AND($F$5="NGAS",$H$5="dálkovod"),Z30,IF(AND($F$5="NGAS",$H$5="místní síť"),AC30,IF(AND($F$5="EON",$H$5="dálkovod"),AF30,AI30))))</f>
        <v>0</v>
      </c>
      <c r="X30" s="151">
        <f t="shared" si="0"/>
        <v>0</v>
      </c>
      <c r="Y30" s="212">
        <f>IF(H10="ANO",0,IF(AND($F$5="NGAS",$H$5="dálkovod"),AB30,IF(AND($F$5="NGAS",$H$5="místní síť"),AE30,IF(AND($F$5="EON",$H$5="dálkovod"),AH30,AK30))))</f>
        <v>0</v>
      </c>
      <c r="Z30" s="201"/>
      <c r="AA30" s="154">
        <f>IF($V30=0,0,ROUND(IF($L30="&gt; 600 000",((($G$45+$I$45*LN($K30))*200000)+(($N$53*10.69*2.4)/1000*400000)+(($N$53*10.69*1.59)/1000*($K30-600000)))/$K30,IF($L30="&gt; 200 000",((($G$45+$I$45*LN($K30))*200000)+(($N$53*10.69*2.4)/1000*($K30-200000)))/$K30,$G$45+$I$45*LN($K30))),5))</f>
        <v>0</v>
      </c>
      <c r="AB30" s="213">
        <f>ROUND(AA30*V30*J30,2)</f>
        <v>0</v>
      </c>
      <c r="AC30" s="201"/>
      <c r="AD30" s="154">
        <f>IF($V30=0,0,ROUND(IF($L30="&gt; 600 000",((($L$45+$N$45*LN($K30))*200000)+(($N$53*10.69*3.29)/1000*400000)+(($N$53*10.69*2.69)/1000*($K30-600000)))/$K30,IF($L30="&gt; 200 000",((($L$45+$N$45*LN($K30))*200000)+(($N$53*10.69*3.29)/1000*($K30-200000)))/$K30,$L$45+$N$45*LN($K30))),5))</f>
        <v>0</v>
      </c>
      <c r="AE30" s="213">
        <f>ROUND(AD30*V30*J30,2)</f>
        <v>0</v>
      </c>
      <c r="AF30" s="201"/>
      <c r="AG30" s="154">
        <f>IF($V30=0,0,ROUND(IF($L30="&gt; 600 000",((($G$46+$I$46*LN($K30))*200000)+(($N$53*10.69*2.4)/1000*400000)+(($N$53*10.69*1.59)/1000*($K30-600000)))/$K30,IF($L30="&gt; 200 000",((($G$46+$I$46*LN($K30))*200000)+(($N$53*10.69*2.4)/1000*($K30-200000)))/$K30,$G$46+$I$46*LN($K30))),5))</f>
        <v>0</v>
      </c>
      <c r="AH30" s="213">
        <f>ROUND(AG30*V30*J30,2)</f>
        <v>0</v>
      </c>
      <c r="AI30" s="201"/>
      <c r="AJ30" s="154">
        <f>IF($V30=0,0,ROUND(IF($L30="&gt; 600 000",((($L$46+$N$46*LN($K30))*200000)+(($N$53*10.69*3.29)/1000*400000)+(($N$53*10.69*2.69)/1000*($K30-600000)))/$K30,IF($L30="&gt; 200 000",((($L$46+$N$46*LN($K30))*200000)+(($N$53*10.69*3.29)/1000*($K30-200000)))/$K30,$L$46+$N$46*LN($K30))),5))</f>
        <v>0</v>
      </c>
      <c r="AK30" s="212">
        <f>ROUND(AJ30*V30*J30,2)</f>
        <v>0</v>
      </c>
      <c r="AL30" s="214"/>
      <c r="AM30" s="442">
        <f t="shared" si="2"/>
        <v>0</v>
      </c>
    </row>
    <row r="31" spans="1:39" s="72" customFormat="1" ht="16.2" thickBot="1" x14ac:dyDescent="0.35">
      <c r="E31" s="70" t="s">
        <v>205</v>
      </c>
      <c r="F31" s="159">
        <f>$F$29+$F$30</f>
        <v>0</v>
      </c>
      <c r="H31" s="71"/>
      <c r="I31" s="215" t="s">
        <v>129</v>
      </c>
      <c r="J31" s="570">
        <f>IF(AND(H10="ANO",$F$7&lt;DATE(2022,7,1)),0,IF(AND($F$18&gt;$F$7-1,$F$18&lt;$G$7+1),$F$22,0))</f>
        <v>0</v>
      </c>
      <c r="K31" s="216">
        <f>IF((SUM(J13:J25)+(SUM(H26:H30)-J14))&lt;$E$56,$E$56,(SUM(J13:J25)+(SUM(H26:H30)-J14)))</f>
        <v>519</v>
      </c>
      <c r="L31" s="216"/>
      <c r="M31" s="216" t="str">
        <f>IF($H$10="ANO","do 200 000",IF((K31-$J$14)&gt;600000,"&gt; 600 000",IF((K31-$J$14)&gt;200000,"&gt; 200 000","do 200 000")))</f>
        <v>do 200 000</v>
      </c>
      <c r="N31" s="217"/>
      <c r="O31" s="218"/>
      <c r="P31" s="219">
        <f>VLOOKUP($F$6,$E$60:$G$71,3,FALSE)</f>
        <v>1.43</v>
      </c>
      <c r="Q31" s="220"/>
      <c r="R31" s="220"/>
      <c r="S31" s="220"/>
      <c r="T31" s="220"/>
      <c r="U31" s="220"/>
      <c r="V31" s="221"/>
      <c r="W31" s="222">
        <f>IF(AND($F$5="NGAS",$H$5="dálkovod"),$Z$31,IF(AND($F$5="NGAS",$H$5="místní síť"),$AC$31,IF(AND($F$5="EON",$H$5="dálkovod"),$AF$31,$AI$31)))</f>
        <v>0</v>
      </c>
      <c r="X31" s="223" t="s">
        <v>232</v>
      </c>
      <c r="Y31" s="212">
        <f t="shared" si="1"/>
        <v>0</v>
      </c>
      <c r="Z31" s="224">
        <f>IF($J$31=0,0,ROUND(IF($M31="&gt; 600 000",((($G$45+$I$45*LN($K31))*200000)+(($N$53*10.69*2.4)/1000*400000)+(($N$53*10.69*1.59)/1000*($K31-600000)))/$K31,IF($M31="&gt; 200 000",((($G$45+$I$45*LN($K31))*200000)+(($N$53*10.69*2.4)/1000*($K31-200000)))/$K31,$G$45+$I$45*LN($K31))),5))</f>
        <v>0</v>
      </c>
      <c r="AA31" s="223" t="s">
        <v>232</v>
      </c>
      <c r="AB31" s="225">
        <f>IF(F23="ano","",IF(F14="","",ROUND(J31*Z31*P31,2)))</f>
        <v>0</v>
      </c>
      <c r="AC31" s="226">
        <f>IF($J$31=0,0,ROUND(IF($M31="&gt; 600 000",((($L$45+$N$45*LN($K31))*200000)+(($N$53*10.69*3.29)/1000*400000)+(($N$53*10.69*2.69)/1000*($K31-600000)))/$K31,IF($M31="&gt; 200 000",((($L$45+$N$45*LN($K31))*200000)+(($N$53*10.69*3.29)/1000*($K31-200000)))/$K31,$L$45+$N$45*LN($K31))),5))</f>
        <v>0</v>
      </c>
      <c r="AD31" s="223" t="s">
        <v>232</v>
      </c>
      <c r="AE31" s="225">
        <f>IF(F23="ano","",IF(F14="","",ROUND(J31*AC31*P31,2)))</f>
        <v>0</v>
      </c>
      <c r="AF31" s="224">
        <f>IF($J$31=0,0,ROUND(IF($M31="&gt; 600 000",((($G$46+$I$46*LN($K31))*200000)+(($N$53*10.69*2.4)/1000*400000)+(($N$53*10.69*1.59)/1000*($K31-600000)))/$K31,IF($M31="&gt; 200 000",((($G$46+$I$46*LN($K31))*200000)+(($N$53*10.69*2.4)/1000*($K31-200000)))/$K31,$G$46+$I$46*LN($K31))),5))</f>
        <v>0</v>
      </c>
      <c r="AG31" s="223" t="s">
        <v>232</v>
      </c>
      <c r="AH31" s="225">
        <f>IF(F23="ano","",IF(F14="","",ROUND(J31*AF31*P31,2)))</f>
        <v>0</v>
      </c>
      <c r="AI31" s="224">
        <f>IF($J$31=0,0,ROUND(IF($M31="&gt; 600 000",((($L$46+$N$46*LN($K31))*200000)+(($N$53*10.69*3.29)/1000*400000)+(($N$53*10.69*2.69)/1000*($K31-600000)))/$K31,IF($M31="&gt; 200 000",((($L$46+$N$46*LN($K31))*200000)+(($N$53*10.69*3.29)/1000*($K31-200000)))/$K31,$L$46+$N$46*LN($K31))),5))</f>
        <v>0</v>
      </c>
      <c r="AJ31" s="223" t="s">
        <v>232</v>
      </c>
      <c r="AK31" s="225">
        <f>IF(F23="ano","",IF(F14="","",ROUND(J31*AI31*P31,2)))</f>
        <v>0</v>
      </c>
      <c r="AL31" s="110"/>
      <c r="AM31" s="442">
        <f t="shared" si="2"/>
        <v>0</v>
      </c>
    </row>
    <row r="32" spans="1:39" s="72" customFormat="1" ht="16.2" thickBot="1" x14ac:dyDescent="0.35">
      <c r="E32" s="70" t="s">
        <v>208</v>
      </c>
      <c r="F32" s="166">
        <f>F31/24</f>
        <v>0</v>
      </c>
      <c r="I32" s="227" t="s">
        <v>233</v>
      </c>
      <c r="J32" s="228">
        <f>IF(F10="ANO",0,$J$11)</f>
        <v>0</v>
      </c>
      <c r="K32" s="229"/>
      <c r="L32" s="229"/>
      <c r="M32" s="229"/>
      <c r="N32" s="230"/>
      <c r="O32" s="230"/>
      <c r="P32" s="231"/>
      <c r="Q32" s="232"/>
      <c r="R32" s="232"/>
      <c r="S32" s="232"/>
      <c r="T32" s="232"/>
      <c r="U32" s="232"/>
      <c r="V32" s="233"/>
      <c r="W32" s="234" t="s">
        <v>234</v>
      </c>
      <c r="X32" s="235">
        <f>$F$53</f>
        <v>2.0400000000000001E-3</v>
      </c>
      <c r="Y32" s="236">
        <f>IF(AND($F$5="NGAS",$H$5="dálkovod"),AB32,IF(AND($F$5="NGAS",$H$5="místní síť"),AE32,IF(AND($F$5="EON",$H$5="dálkovod"),AH32,AK32)))</f>
        <v>0</v>
      </c>
      <c r="Z32" s="234" t="s">
        <v>234</v>
      </c>
      <c r="AA32" s="237">
        <f>$F$53</f>
        <v>2.0400000000000001E-3</v>
      </c>
      <c r="AB32" s="238">
        <f>ROUND($J$32*AA32,2)</f>
        <v>0</v>
      </c>
      <c r="AC32" s="234" t="s">
        <v>234</v>
      </c>
      <c r="AD32" s="237">
        <f>$F$53</f>
        <v>2.0400000000000001E-3</v>
      </c>
      <c r="AE32" s="239">
        <f>ROUND($J$32*AD32,2)</f>
        <v>0</v>
      </c>
      <c r="AF32" s="234" t="s">
        <v>234</v>
      </c>
      <c r="AG32" s="237">
        <f>$F$53</f>
        <v>2.0400000000000001E-3</v>
      </c>
      <c r="AH32" s="239">
        <f>ROUND($J$32*AG32,2)</f>
        <v>0</v>
      </c>
      <c r="AI32" s="234" t="s">
        <v>234</v>
      </c>
      <c r="AJ32" s="237">
        <f>$F$53</f>
        <v>2.0400000000000001E-3</v>
      </c>
      <c r="AK32" s="240">
        <f>ROUND($J$32*AJ32,2)</f>
        <v>0</v>
      </c>
      <c r="AM32" s="442">
        <f t="shared" si="2"/>
        <v>0</v>
      </c>
    </row>
    <row r="33" spans="2:37" s="72" customFormat="1" ht="15.6" x14ac:dyDescent="0.3">
      <c r="E33" s="171" t="s">
        <v>235</v>
      </c>
      <c r="F33" s="494">
        <f>'Výpočet ceny distribuce'!$B$36</f>
        <v>0</v>
      </c>
      <c r="I33" s="312" t="s">
        <v>236</v>
      </c>
      <c r="J33" s="313"/>
      <c r="K33" s="313"/>
      <c r="L33" s="313"/>
      <c r="M33" s="313"/>
      <c r="N33" s="313"/>
      <c r="O33" s="313"/>
      <c r="P33" s="313"/>
      <c r="Q33" s="313"/>
      <c r="R33" s="313"/>
      <c r="S33" s="313"/>
      <c r="T33" s="313"/>
      <c r="U33" s="313"/>
      <c r="V33" s="314"/>
      <c r="W33" s="675">
        <f>IF(AND($F$5="NGAS",$H$5="dálkovod"),AB33,IF(AND($F$5="NGAS",$H$5="místní síť"),AE33,IF(AND($F$5="EON",$H$5="dálkovod"),AH33,AK33)))</f>
        <v>0</v>
      </c>
      <c r="X33" s="676"/>
      <c r="Y33" s="677"/>
      <c r="Z33" s="241"/>
      <c r="AA33" s="242"/>
      <c r="AB33" s="243">
        <f>IF($H$10="ANO",AB11+AB32,SUM(AB11:AB32))</f>
        <v>0</v>
      </c>
      <c r="AC33" s="242"/>
      <c r="AD33" s="242"/>
      <c r="AE33" s="243">
        <f>IF(H10="ANO",AE11+AE32,SUM(AE11:AE32))</f>
        <v>0</v>
      </c>
      <c r="AF33" s="244"/>
      <c r="AG33" s="245"/>
      <c r="AH33" s="246">
        <f>IF(H10="ANO",AH11+AH32,SUM(AH11:AH32))</f>
        <v>0</v>
      </c>
      <c r="AI33" s="247"/>
      <c r="AJ33" s="247"/>
      <c r="AK33" s="248">
        <f>IF(H10="ANO",AK11+AK32,SUM(AK11:AK32))</f>
        <v>0</v>
      </c>
    </row>
    <row r="34" spans="2:37" s="72" customFormat="1" ht="16.2" thickBot="1" x14ac:dyDescent="0.35">
      <c r="E34" s="70" t="s">
        <v>215</v>
      </c>
      <c r="F34" s="495" t="str">
        <f>IF(OR($F$29=0,$F$29=""),"",($F$33/$F$29)-100%)</f>
        <v/>
      </c>
      <c r="I34" s="303" t="s">
        <v>237</v>
      </c>
      <c r="J34" s="304"/>
      <c r="K34" s="304"/>
      <c r="L34" s="304"/>
      <c r="M34" s="304"/>
      <c r="N34" s="304"/>
      <c r="O34" s="304"/>
      <c r="P34" s="304"/>
      <c r="Q34" s="304"/>
      <c r="R34" s="304"/>
      <c r="S34" s="304"/>
      <c r="T34" s="304"/>
      <c r="U34" s="304"/>
      <c r="V34" s="305"/>
      <c r="W34" s="695">
        <f>IF(AND($F$5="NGAS",$H$5="dálkovod"),AB34,IF(AND($F$5="NGAS",$H$5="místní síť"),AE34,IF(AND($F$5="EON",$H$5="dálkovod"),AH34,AK34)))</f>
        <v>0</v>
      </c>
      <c r="X34" s="696"/>
      <c r="Y34" s="697"/>
      <c r="Z34" s="249"/>
      <c r="AA34" s="250"/>
      <c r="AB34" s="251">
        <f>AB33*1.21</f>
        <v>0</v>
      </c>
      <c r="AC34" s="250"/>
      <c r="AD34" s="250"/>
      <c r="AE34" s="251">
        <f>AE33*1.21</f>
        <v>0</v>
      </c>
      <c r="AF34" s="252"/>
      <c r="AG34" s="252"/>
      <c r="AH34" s="253">
        <f>AH33*1.21</f>
        <v>0</v>
      </c>
      <c r="AI34" s="254"/>
      <c r="AJ34" s="254"/>
      <c r="AK34" s="255">
        <f>AK33*1.21</f>
        <v>0</v>
      </c>
    </row>
    <row r="35" spans="2:37" s="72" customFormat="1" ht="15" thickBot="1" x14ac:dyDescent="0.35">
      <c r="E35" s="70" t="s">
        <v>238</v>
      </c>
      <c r="F35" s="70">
        <f>IF($F$34&gt;3.8%,$F$33-$F$31,0)</f>
        <v>0</v>
      </c>
      <c r="I35" s="71"/>
      <c r="J35" s="71"/>
      <c r="P35" s="59"/>
      <c r="Q35" s="71"/>
      <c r="R35" s="71"/>
      <c r="S35" s="71"/>
      <c r="T35" s="71"/>
      <c r="U35" s="71"/>
      <c r="V35" s="71"/>
      <c r="W35" s="71"/>
      <c r="X35" s="71"/>
      <c r="Y35" s="71"/>
      <c r="Z35" s="71"/>
      <c r="AA35" s="71"/>
      <c r="AB35" s="71"/>
      <c r="AC35" s="71"/>
      <c r="AD35" s="71"/>
      <c r="AE35" s="256"/>
      <c r="AF35" s="71"/>
      <c r="AG35" s="71"/>
      <c r="AH35" s="71"/>
      <c r="AI35" s="71"/>
      <c r="AJ35" s="71"/>
      <c r="AK35" s="71"/>
    </row>
    <row r="36" spans="2:37" s="72" customFormat="1" ht="28.8" x14ac:dyDescent="0.3">
      <c r="E36" s="70" t="s">
        <v>218</v>
      </c>
      <c r="F36" s="70">
        <f>IF($F$34&gt;3.8%,$F$33-F29,0)</f>
        <v>0</v>
      </c>
      <c r="G36" s="71"/>
      <c r="H36" s="71"/>
      <c r="I36" s="257" t="s">
        <v>239</v>
      </c>
      <c r="J36" s="100" t="s">
        <v>106</v>
      </c>
      <c r="K36" s="100" t="s">
        <v>178</v>
      </c>
      <c r="L36" s="258" t="s">
        <v>186</v>
      </c>
      <c r="M36" s="259" t="s">
        <v>187</v>
      </c>
      <c r="N36" s="71"/>
      <c r="O36" s="100" t="s">
        <v>106</v>
      </c>
      <c r="P36" s="259" t="s">
        <v>187</v>
      </c>
      <c r="Q36" s="71"/>
      <c r="R36" s="71"/>
      <c r="S36" s="71"/>
      <c r="T36" s="71"/>
      <c r="U36" s="71"/>
      <c r="V36" s="59"/>
      <c r="W36" s="71"/>
      <c r="X36" s="71"/>
      <c r="Y36" s="71"/>
      <c r="Z36" s="71"/>
      <c r="AA36" s="71"/>
      <c r="AB36" s="71"/>
      <c r="AC36" s="71"/>
      <c r="AD36" s="71"/>
      <c r="AE36" s="71"/>
      <c r="AF36" s="71"/>
      <c r="AG36" s="71"/>
      <c r="AH36" s="71"/>
      <c r="AI36" s="71"/>
      <c r="AJ36" s="71"/>
      <c r="AK36" s="71"/>
    </row>
    <row r="37" spans="2:37" s="72" customFormat="1" ht="28.8" x14ac:dyDescent="0.3">
      <c r="E37" s="70" t="s">
        <v>220</v>
      </c>
      <c r="F37" s="178" t="s">
        <v>240</v>
      </c>
      <c r="G37" s="111" t="s">
        <v>193</v>
      </c>
      <c r="H37" s="111">
        <f>IF($F$11="0",J37,J37/(1-$F$11))</f>
        <v>0</v>
      </c>
      <c r="I37" s="138" t="s">
        <v>197</v>
      </c>
      <c r="J37" s="494">
        <f>'Výpočet ceny distribuce'!C12</f>
        <v>0</v>
      </c>
      <c r="K37" s="143"/>
      <c r="L37" s="143">
        <f>E54</f>
        <v>1.2999999999999999E-2</v>
      </c>
      <c r="M37" s="260">
        <f>ROUND(L37*J37/12,2)</f>
        <v>0</v>
      </c>
      <c r="N37" s="138" t="s">
        <v>126</v>
      </c>
      <c r="O37" s="494">
        <f>'Výpočet ceny distribuce'!C13</f>
        <v>0</v>
      </c>
      <c r="P37" s="70">
        <f>ROUND(L37*O37/12,2)</f>
        <v>0</v>
      </c>
      <c r="Q37" s="71"/>
      <c r="R37" s="71"/>
      <c r="S37" s="71"/>
      <c r="T37" s="71"/>
      <c r="U37" s="71"/>
      <c r="V37" s="71"/>
      <c r="W37" s="71"/>
      <c r="X37" s="71"/>
      <c r="Y37" s="71"/>
      <c r="Z37" s="71"/>
      <c r="AA37" s="71"/>
      <c r="AB37" s="71"/>
      <c r="AC37" s="71"/>
      <c r="AD37" s="71"/>
      <c r="AE37" s="71"/>
      <c r="AF37" s="71"/>
      <c r="AG37" s="71"/>
      <c r="AH37" s="71"/>
      <c r="AI37" s="71"/>
      <c r="AJ37" s="71"/>
      <c r="AK37" s="71"/>
    </row>
    <row r="38" spans="2:37" s="72" customFormat="1" ht="15" thickBot="1" x14ac:dyDescent="0.35">
      <c r="E38" s="261"/>
      <c r="F38" s="71"/>
      <c r="G38" s="71"/>
      <c r="H38" s="71"/>
      <c r="I38" s="179" t="s">
        <v>129</v>
      </c>
      <c r="J38" s="262">
        <f>F36</f>
        <v>0</v>
      </c>
      <c r="K38" s="262">
        <f>VLOOKUP($F$6,$E$60:$G$71,3,FALSE)</f>
        <v>1.43</v>
      </c>
      <c r="L38" s="262">
        <f>E54</f>
        <v>1.2999999999999999E-2</v>
      </c>
      <c r="M38" s="263">
        <f>IF(F37="ano",0,ROUND(J38*L38*K38,2))</f>
        <v>0</v>
      </c>
      <c r="N38" s="124" t="s">
        <v>124</v>
      </c>
      <c r="O38" s="494">
        <f>'Výpočet ceny distribuce'!C14</f>
        <v>0</v>
      </c>
      <c r="P38" s="70">
        <f>ROUND(L38*O38*P16,2)</f>
        <v>0</v>
      </c>
      <c r="Q38" s="71"/>
      <c r="R38" s="71"/>
      <c r="S38" s="71"/>
      <c r="T38" s="71"/>
      <c r="U38" s="71"/>
      <c r="V38" s="71"/>
      <c r="W38" s="71"/>
      <c r="X38" s="71"/>
      <c r="Y38" s="71"/>
      <c r="Z38" s="71"/>
      <c r="AA38" s="71"/>
      <c r="AB38" s="71"/>
      <c r="AC38" s="71"/>
      <c r="AD38" s="71"/>
      <c r="AE38" s="71"/>
      <c r="AF38" s="71"/>
      <c r="AG38" s="71"/>
      <c r="AH38" s="71"/>
      <c r="AI38" s="71"/>
      <c r="AJ38" s="71"/>
      <c r="AK38" s="71"/>
    </row>
    <row r="39" spans="2:37" s="72" customFormat="1" x14ac:dyDescent="0.3">
      <c r="E39" s="261"/>
      <c r="F39" s="71"/>
      <c r="G39" s="71"/>
      <c r="H39" s="71"/>
      <c r="I39" s="264" t="s">
        <v>236</v>
      </c>
      <c r="J39" s="265"/>
      <c r="K39" s="265"/>
      <c r="L39" s="266"/>
      <c r="M39" s="267">
        <f>M38+M37+P37</f>
        <v>0</v>
      </c>
      <c r="N39" s="71"/>
      <c r="O39" s="71"/>
      <c r="P39" s="71"/>
      <c r="Q39" s="71"/>
      <c r="R39" s="71"/>
      <c r="S39" s="71"/>
      <c r="T39" s="71"/>
      <c r="U39" s="71"/>
      <c r="V39" s="71"/>
      <c r="W39" s="71"/>
      <c r="X39" s="268"/>
      <c r="Y39" s="268"/>
      <c r="Z39" s="268"/>
      <c r="AA39" s="268"/>
      <c r="AB39" s="268"/>
      <c r="AC39" s="268"/>
      <c r="AD39" s="268"/>
      <c r="AE39" s="268"/>
      <c r="AF39" s="268"/>
      <c r="AG39" s="268"/>
      <c r="AH39" s="268"/>
      <c r="AI39" s="71"/>
      <c r="AJ39" s="71"/>
      <c r="AK39" s="71"/>
    </row>
    <row r="40" spans="2:37" s="72" customFormat="1" ht="15" thickBot="1" x14ac:dyDescent="0.35">
      <c r="E40" s="71"/>
      <c r="F40" s="71"/>
      <c r="G40" s="71"/>
      <c r="H40" s="71"/>
      <c r="I40" s="269" t="s">
        <v>241</v>
      </c>
      <c r="J40" s="149"/>
      <c r="K40" s="149"/>
      <c r="L40" s="147"/>
      <c r="M40" s="270">
        <f>M39*1.21</f>
        <v>0</v>
      </c>
      <c r="N40" s="71"/>
      <c r="O40" s="71"/>
      <c r="P40" s="71"/>
      <c r="Q40" s="71"/>
      <c r="R40" s="71"/>
      <c r="S40" s="71"/>
      <c r="T40" s="71"/>
      <c r="U40" s="71"/>
      <c r="V40" s="71"/>
      <c r="W40" s="71"/>
      <c r="X40" s="268"/>
      <c r="Y40" s="268"/>
      <c r="Z40" s="268"/>
      <c r="AA40" s="268"/>
      <c r="AB40" s="268"/>
      <c r="AC40" s="268"/>
      <c r="AD40" s="268"/>
      <c r="AE40" s="268"/>
      <c r="AF40" s="268"/>
      <c r="AG40" s="268"/>
      <c r="AH40" s="268"/>
      <c r="AI40" s="71"/>
      <c r="AJ40" s="71"/>
      <c r="AK40" s="71"/>
    </row>
    <row r="41" spans="2:37" s="271" customFormat="1" x14ac:dyDescent="0.3">
      <c r="B41" s="272"/>
      <c r="C41" s="272"/>
      <c r="D41" s="273" t="s">
        <v>242</v>
      </c>
      <c r="E41" s="272"/>
      <c r="F41" s="272"/>
      <c r="G41" s="272"/>
      <c r="H41" s="272"/>
      <c r="I41" s="272"/>
      <c r="J41" s="272"/>
      <c r="K41" s="272"/>
      <c r="L41" s="272"/>
      <c r="M41" s="272"/>
      <c r="N41" s="272"/>
      <c r="O41" s="272"/>
      <c r="P41" s="272"/>
      <c r="Q41" s="272"/>
      <c r="R41" s="272"/>
      <c r="S41" s="272"/>
      <c r="T41" s="272"/>
      <c r="U41" s="272"/>
      <c r="V41" s="272"/>
      <c r="W41" s="272"/>
      <c r="X41" s="272"/>
      <c r="Y41" s="272"/>
      <c r="Z41" s="272"/>
      <c r="AA41" s="274"/>
      <c r="AB41" s="274"/>
      <c r="AC41" s="274"/>
      <c r="AD41" s="274"/>
      <c r="AE41" s="274"/>
      <c r="AF41" s="274"/>
      <c r="AG41" s="274"/>
      <c r="AH41" s="274"/>
      <c r="AI41" s="274"/>
      <c r="AJ41" s="274"/>
      <c r="AK41" s="274"/>
    </row>
    <row r="42" spans="2:37" s="72" customFormat="1" ht="72" x14ac:dyDescent="0.3">
      <c r="B42" s="71"/>
      <c r="C42" s="71"/>
      <c r="D42" s="70" t="s">
        <v>243</v>
      </c>
      <c r="E42" s="698" t="s">
        <v>29</v>
      </c>
      <c r="F42" s="699"/>
      <c r="G42" s="699"/>
      <c r="H42" s="699"/>
      <c r="I42" s="700"/>
      <c r="J42" s="306" t="s">
        <v>30</v>
      </c>
      <c r="K42" s="307"/>
      <c r="L42" s="307"/>
      <c r="M42" s="307"/>
      <c r="N42" s="307"/>
      <c r="O42" s="307"/>
      <c r="P42" s="308"/>
      <c r="Q42" s="71"/>
      <c r="R42" s="71"/>
      <c r="S42" s="71"/>
      <c r="T42" s="71"/>
      <c r="U42" s="71"/>
      <c r="V42" s="71"/>
      <c r="W42" s="71"/>
      <c r="X42" s="71"/>
      <c r="Y42" s="71"/>
      <c r="Z42" s="71"/>
      <c r="AA42" s="71"/>
      <c r="AB42" s="71"/>
      <c r="AC42" s="71"/>
      <c r="AD42" s="71"/>
      <c r="AE42" s="71"/>
      <c r="AF42" s="71"/>
      <c r="AG42" s="71"/>
      <c r="AH42" s="71"/>
      <c r="AI42" s="71"/>
      <c r="AJ42" s="71"/>
      <c r="AK42" s="71"/>
    </row>
    <row r="43" spans="2:37" s="72" customFormat="1" ht="14.4" customHeight="1" x14ac:dyDescent="0.3">
      <c r="B43" s="71"/>
      <c r="C43" s="71"/>
      <c r="D43" s="427">
        <v>44562</v>
      </c>
      <c r="E43" s="701" t="s">
        <v>244</v>
      </c>
      <c r="F43" s="702"/>
      <c r="G43" s="703" t="s">
        <v>75</v>
      </c>
      <c r="H43" s="704"/>
      <c r="I43" s="705"/>
      <c r="J43" s="701" t="s">
        <v>244</v>
      </c>
      <c r="K43" s="702"/>
      <c r="L43" s="309" t="s">
        <v>75</v>
      </c>
      <c r="M43" s="310"/>
      <c r="N43" s="310"/>
      <c r="O43" s="311"/>
      <c r="P43" s="71"/>
      <c r="Q43" s="71"/>
      <c r="R43" s="71"/>
      <c r="S43" s="71"/>
      <c r="T43" s="71"/>
      <c r="U43" s="71"/>
      <c r="V43" s="275" t="s">
        <v>80</v>
      </c>
      <c r="W43" s="34" t="s">
        <v>245</v>
      </c>
      <c r="X43" s="275" t="s">
        <v>246</v>
      </c>
      <c r="Y43" s="71"/>
      <c r="Z43" s="71"/>
      <c r="AA43" s="71"/>
      <c r="AB43" s="71"/>
      <c r="AC43" s="71"/>
      <c r="AD43" s="71"/>
      <c r="AE43" s="71"/>
      <c r="AF43" s="71"/>
      <c r="AG43" s="71"/>
      <c r="AH43" s="71"/>
      <c r="AI43" s="71"/>
      <c r="AJ43" s="71"/>
      <c r="AK43" s="71"/>
    </row>
    <row r="44" spans="2:37" s="72" customFormat="1" ht="15" customHeight="1" x14ac:dyDescent="0.3">
      <c r="B44" s="71"/>
      <c r="C44" s="71"/>
      <c r="D44" s="115" t="s">
        <v>247</v>
      </c>
      <c r="E44" s="115" t="s">
        <v>2</v>
      </c>
      <c r="F44" s="115" t="s">
        <v>248</v>
      </c>
      <c r="G44" s="276" t="s">
        <v>249</v>
      </c>
      <c r="H44" s="115" t="s">
        <v>250</v>
      </c>
      <c r="I44" s="276" t="s">
        <v>251</v>
      </c>
      <c r="J44" s="115" t="s">
        <v>2</v>
      </c>
      <c r="K44" s="115" t="s">
        <v>248</v>
      </c>
      <c r="L44" s="276" t="s">
        <v>249</v>
      </c>
      <c r="M44" s="115" t="s">
        <v>250</v>
      </c>
      <c r="N44" s="276" t="s">
        <v>251</v>
      </c>
      <c r="O44" s="71"/>
      <c r="P44" s="71"/>
      <c r="Q44" s="71"/>
      <c r="R44" s="71"/>
      <c r="S44" s="71"/>
      <c r="T44" s="71"/>
      <c r="U44" s="71"/>
      <c r="V44" s="10" t="s">
        <v>252</v>
      </c>
      <c r="W44" s="10" t="s">
        <v>253</v>
      </c>
      <c r="X44" s="10"/>
      <c r="Y44" s="71"/>
      <c r="Z44" s="71"/>
      <c r="AA44" s="71"/>
      <c r="AB44" s="277">
        <f>AA3*1000</f>
        <v>0</v>
      </c>
      <c r="AC44" s="71"/>
      <c r="AD44" s="71"/>
      <c r="AE44" s="71"/>
      <c r="AF44" s="71"/>
      <c r="AG44" s="71"/>
      <c r="AH44" s="71"/>
      <c r="AI44" s="71"/>
      <c r="AJ44" s="71"/>
      <c r="AK44" s="71"/>
    </row>
    <row r="45" spans="2:37" s="72" customFormat="1" ht="43.2" customHeight="1" x14ac:dyDescent="0.3">
      <c r="B45" s="71"/>
      <c r="C45" s="83" t="s">
        <v>134</v>
      </c>
      <c r="D45" s="115" t="s">
        <v>152</v>
      </c>
      <c r="E45" s="278">
        <v>16.350000000000001</v>
      </c>
      <c r="F45" s="171">
        <f t="shared" ref="F45:F51" si="16">E45/1000</f>
        <v>1.635E-2</v>
      </c>
      <c r="G45" s="279">
        <v>314.9846</v>
      </c>
      <c r="H45" s="280">
        <f>ROUND(G45*1.05,4)</f>
        <v>330.73379999999997</v>
      </c>
      <c r="I45" s="281">
        <v>-17.178899999999999</v>
      </c>
      <c r="J45" s="278">
        <v>43.26</v>
      </c>
      <c r="K45" s="282">
        <f t="shared" ref="K45:K50" si="17">J45/1000</f>
        <v>4.326E-2</v>
      </c>
      <c r="L45" s="279">
        <v>355.9735</v>
      </c>
      <c r="M45" s="280">
        <f>ROUND(L45*1.05,4)</f>
        <v>373.7722</v>
      </c>
      <c r="N45" s="281">
        <v>-17.178899999999999</v>
      </c>
      <c r="O45" s="71"/>
      <c r="P45" s="71"/>
      <c r="Q45" s="71"/>
      <c r="R45" s="71"/>
      <c r="S45" s="71"/>
      <c r="T45" s="71"/>
      <c r="U45" s="71"/>
      <c r="V45" s="261" t="s">
        <v>254</v>
      </c>
      <c r="W45" s="283" t="s">
        <v>255</v>
      </c>
      <c r="X45" s="71"/>
      <c r="Y45" s="71"/>
      <c r="Z45" s="71"/>
      <c r="AA45" s="71"/>
      <c r="AB45" s="284">
        <f>ROUND(((($H$45+$I$45*LN($K12))*N54)+((N53*10.69*N56)/1000*($K12-N54)))/$K12*1000,5)</f>
        <v>0</v>
      </c>
      <c r="AC45" s="71"/>
      <c r="AD45" s="71"/>
      <c r="AE45" s="71"/>
      <c r="AF45" s="71"/>
      <c r="AG45" s="71"/>
      <c r="AH45" s="71"/>
      <c r="AI45" s="71"/>
      <c r="AJ45" s="71"/>
      <c r="AK45" s="71"/>
    </row>
    <row r="46" spans="2:37" s="72" customFormat="1" x14ac:dyDescent="0.3">
      <c r="B46" s="71"/>
      <c r="C46" s="83" t="s">
        <v>291</v>
      </c>
      <c r="D46" s="115" t="s">
        <v>256</v>
      </c>
      <c r="E46" s="278">
        <v>24.47</v>
      </c>
      <c r="F46" s="171">
        <f t="shared" si="16"/>
        <v>2.4469999999999999E-2</v>
      </c>
      <c r="G46" s="279">
        <v>316.3956</v>
      </c>
      <c r="H46" s="280">
        <f>ROUND(G46*1.05,4)</f>
        <v>332.21539999999999</v>
      </c>
      <c r="I46" s="281">
        <v>-6.5753000000000004</v>
      </c>
      <c r="J46" s="278">
        <v>88.08</v>
      </c>
      <c r="K46" s="282">
        <f t="shared" si="17"/>
        <v>8.8079999999999992E-2</v>
      </c>
      <c r="L46" s="279">
        <v>366.9452</v>
      </c>
      <c r="M46" s="280">
        <f>ROUND(L46*1.05,4)</f>
        <v>385.29250000000002</v>
      </c>
      <c r="N46" s="281">
        <v>-6.5753000000000004</v>
      </c>
      <c r="O46" s="71"/>
      <c r="P46" s="71"/>
      <c r="Q46" s="71"/>
      <c r="R46" s="71"/>
      <c r="S46" s="71"/>
      <c r="T46" s="71"/>
      <c r="U46" s="71"/>
      <c r="V46" s="261" t="s">
        <v>257</v>
      </c>
      <c r="W46" s="48" t="s">
        <v>258</v>
      </c>
      <c r="X46" s="71"/>
      <c r="Y46" s="71"/>
      <c r="Z46" s="71"/>
      <c r="AA46" s="71"/>
      <c r="AB46" s="71"/>
      <c r="AC46" s="71"/>
      <c r="AD46" s="71"/>
      <c r="AE46" s="71"/>
      <c r="AF46" s="71"/>
      <c r="AG46" s="71"/>
      <c r="AH46" s="71"/>
      <c r="AI46" s="71"/>
      <c r="AJ46" s="71"/>
      <c r="AK46" s="71"/>
    </row>
    <row r="47" spans="2:37" s="72" customFormat="1" x14ac:dyDescent="0.3">
      <c r="B47" s="71"/>
      <c r="C47" s="71"/>
      <c r="D47" s="137" t="s">
        <v>259</v>
      </c>
      <c r="E47" s="278">
        <v>47.52</v>
      </c>
      <c r="F47" s="171">
        <f t="shared" si="16"/>
        <v>4.752E-2</v>
      </c>
      <c r="G47" s="71"/>
      <c r="H47" s="71"/>
      <c r="I47" s="137" t="s">
        <v>259</v>
      </c>
      <c r="J47" s="278">
        <v>105.79</v>
      </c>
      <c r="K47" s="282">
        <f t="shared" si="17"/>
        <v>0.10579000000000001</v>
      </c>
      <c r="L47" s="71"/>
      <c r="M47" s="71"/>
      <c r="N47" s="71"/>
      <c r="O47" s="71"/>
      <c r="P47" s="71"/>
      <c r="Q47" s="71"/>
      <c r="R47" s="71"/>
      <c r="S47" s="71"/>
      <c r="T47" s="71"/>
      <c r="U47" s="71"/>
      <c r="V47" s="71"/>
      <c r="W47" s="71"/>
      <c r="Y47" s="71"/>
      <c r="Z47" s="71"/>
      <c r="AA47" s="71"/>
      <c r="AB47" s="71"/>
      <c r="AC47" s="71"/>
      <c r="AD47" s="71"/>
      <c r="AE47" s="71"/>
      <c r="AF47" s="71"/>
      <c r="AG47" s="71"/>
      <c r="AH47" s="71"/>
      <c r="AI47" s="71"/>
      <c r="AJ47" s="71"/>
      <c r="AK47" s="71"/>
    </row>
    <row r="48" spans="2:37" s="72" customFormat="1" x14ac:dyDescent="0.3">
      <c r="B48" s="71"/>
      <c r="C48" s="71"/>
      <c r="D48" s="137" t="s">
        <v>260</v>
      </c>
      <c r="E48" s="278">
        <v>54.59</v>
      </c>
      <c r="F48" s="171">
        <f t="shared" si="16"/>
        <v>5.4590000000000007E-2</v>
      </c>
      <c r="G48" s="71"/>
      <c r="H48" s="71"/>
      <c r="I48" s="137" t="s">
        <v>260</v>
      </c>
      <c r="J48" s="278">
        <v>178.96</v>
      </c>
      <c r="K48" s="282">
        <f t="shared" si="17"/>
        <v>0.17896000000000001</v>
      </c>
      <c r="L48" s="71"/>
      <c r="M48" s="71"/>
      <c r="N48" s="71"/>
      <c r="O48" s="71"/>
      <c r="P48" s="71"/>
      <c r="Q48" s="71"/>
      <c r="R48" s="71"/>
      <c r="S48" s="71"/>
      <c r="T48" s="71"/>
      <c r="U48" s="71"/>
      <c r="V48" s="71"/>
      <c r="W48" s="10"/>
      <c r="X48" s="34"/>
      <c r="Y48" s="71"/>
      <c r="Z48" s="71"/>
      <c r="AA48" s="71"/>
      <c r="AB48" s="71"/>
      <c r="AC48" s="71"/>
      <c r="AD48" s="71"/>
      <c r="AE48" s="71"/>
      <c r="AF48" s="71"/>
      <c r="AG48" s="71"/>
      <c r="AH48" s="71"/>
      <c r="AI48" s="71"/>
      <c r="AJ48" s="71"/>
      <c r="AK48" s="71"/>
    </row>
    <row r="49" spans="2:37" s="72" customFormat="1" ht="43.2" x14ac:dyDescent="0.3">
      <c r="B49" s="71"/>
      <c r="C49" s="693" t="s">
        <v>261</v>
      </c>
      <c r="D49" s="137" t="s">
        <v>141</v>
      </c>
      <c r="E49" s="278">
        <v>8.52</v>
      </c>
      <c r="F49" s="171">
        <f t="shared" si="16"/>
        <v>8.5199999999999998E-3</v>
      </c>
      <c r="G49" s="71"/>
      <c r="H49" s="115" t="s">
        <v>152</v>
      </c>
      <c r="I49" s="137" t="s">
        <v>262</v>
      </c>
      <c r="J49" s="278">
        <f>E45</f>
        <v>16.350000000000001</v>
      </c>
      <c r="K49" s="171">
        <f t="shared" si="17"/>
        <v>1.635E-2</v>
      </c>
      <c r="L49" s="71"/>
      <c r="M49" s="71"/>
      <c r="N49" s="71"/>
      <c r="O49" s="71"/>
      <c r="P49" s="71"/>
      <c r="Q49" s="71"/>
      <c r="R49" s="71"/>
      <c r="S49" s="71"/>
      <c r="T49" s="71"/>
      <c r="U49" s="71"/>
      <c r="V49" s="71"/>
      <c r="Y49" s="71"/>
      <c r="Z49" s="71"/>
      <c r="AA49" s="71"/>
      <c r="AB49" s="71"/>
      <c r="AC49" s="71"/>
      <c r="AD49" s="71"/>
      <c r="AE49" s="71"/>
      <c r="AF49" s="71"/>
      <c r="AG49" s="71"/>
      <c r="AH49" s="71"/>
      <c r="AI49" s="71"/>
      <c r="AJ49" s="71"/>
      <c r="AK49" s="71"/>
    </row>
    <row r="50" spans="2:37" s="72" customFormat="1" ht="43.2" x14ac:dyDescent="0.3">
      <c r="B50" s="71"/>
      <c r="C50" s="693"/>
      <c r="D50" s="137" t="s">
        <v>263</v>
      </c>
      <c r="E50" s="278">
        <v>6.52</v>
      </c>
      <c r="F50" s="171">
        <f t="shared" si="16"/>
        <v>6.5199999999999998E-3</v>
      </c>
      <c r="G50" s="71"/>
      <c r="H50" s="115" t="s">
        <v>256</v>
      </c>
      <c r="I50" s="137" t="s">
        <v>262</v>
      </c>
      <c r="J50" s="278">
        <f>E46</f>
        <v>24.47</v>
      </c>
      <c r="K50" s="171">
        <f t="shared" si="17"/>
        <v>2.4469999999999999E-2</v>
      </c>
      <c r="L50" s="71"/>
      <c r="M50" s="71"/>
      <c r="N50" s="71"/>
      <c r="O50" s="71"/>
      <c r="P50" s="71"/>
      <c r="Q50" s="71"/>
      <c r="R50" s="71"/>
      <c r="S50" s="71"/>
      <c r="T50" s="71"/>
      <c r="U50" s="71"/>
      <c r="V50" s="275" t="s">
        <v>80</v>
      </c>
      <c r="W50" s="34" t="s">
        <v>264</v>
      </c>
      <c r="Y50" s="71"/>
      <c r="Z50" s="71"/>
      <c r="AA50" s="71"/>
      <c r="AB50" s="71"/>
      <c r="AC50" s="71"/>
      <c r="AD50" s="71"/>
      <c r="AE50" s="71"/>
      <c r="AF50" s="71"/>
      <c r="AG50" s="71"/>
      <c r="AH50" s="71"/>
      <c r="AI50" s="71"/>
      <c r="AJ50" s="71"/>
      <c r="AK50" s="71"/>
    </row>
    <row r="51" spans="2:37" s="72" customFormat="1" ht="28.8" x14ac:dyDescent="0.3">
      <c r="B51" s="71"/>
      <c r="C51" s="693"/>
      <c r="D51" s="137" t="s">
        <v>265</v>
      </c>
      <c r="E51" s="278">
        <v>4.5199999999999996</v>
      </c>
      <c r="F51" s="171">
        <f t="shared" si="16"/>
        <v>4.5199999999999997E-3</v>
      </c>
      <c r="G51" s="71"/>
      <c r="H51" s="70" t="s">
        <v>266</v>
      </c>
      <c r="I51" s="70"/>
      <c r="J51" s="70"/>
      <c r="K51" s="71"/>
      <c r="L51" s="71"/>
      <c r="M51" s="71"/>
      <c r="N51" s="71"/>
      <c r="O51" s="71"/>
      <c r="P51" s="71"/>
      <c r="Q51" s="71"/>
      <c r="R51" s="71"/>
      <c r="S51" s="71"/>
      <c r="T51" s="71"/>
      <c r="U51" s="71"/>
      <c r="V51" s="261" t="s">
        <v>252</v>
      </c>
      <c r="W51" s="10" t="s">
        <v>267</v>
      </c>
      <c r="Y51" s="71"/>
      <c r="Z51" s="71"/>
      <c r="AA51" s="71"/>
      <c r="AB51" s="71"/>
      <c r="AC51" s="71"/>
      <c r="AD51" s="71"/>
      <c r="AE51" s="71"/>
      <c r="AF51" s="71"/>
      <c r="AG51" s="71"/>
      <c r="AH51" s="71"/>
      <c r="AI51" s="71"/>
      <c r="AJ51" s="71"/>
      <c r="AK51" s="71"/>
    </row>
    <row r="52" spans="2:37" s="72" customFormat="1" x14ac:dyDescent="0.3">
      <c r="B52" s="71"/>
      <c r="C52" s="285"/>
      <c r="D52" s="286"/>
      <c r="E52" s="286" t="s">
        <v>266</v>
      </c>
      <c r="F52" s="171"/>
      <c r="G52" s="71"/>
      <c r="H52" s="71"/>
      <c r="I52" s="71"/>
      <c r="J52" s="71"/>
      <c r="K52" s="71"/>
      <c r="L52" s="71"/>
      <c r="M52" s="71"/>
      <c r="N52" s="71"/>
      <c r="O52" s="71"/>
      <c r="P52" s="71"/>
      <c r="Q52" s="71"/>
      <c r="R52" s="71"/>
      <c r="S52" s="71"/>
      <c r="T52" s="71"/>
      <c r="U52" s="71"/>
      <c r="V52" s="261"/>
      <c r="W52" s="10"/>
      <c r="Y52" s="71"/>
      <c r="Z52" s="71"/>
      <c r="AA52" s="71"/>
      <c r="AB52" s="71"/>
      <c r="AC52" s="71"/>
      <c r="AD52" s="71"/>
      <c r="AE52" s="71"/>
      <c r="AF52" s="71"/>
      <c r="AG52" s="71"/>
      <c r="AH52" s="71"/>
      <c r="AI52" s="71"/>
      <c r="AJ52" s="71"/>
      <c r="AK52" s="71"/>
    </row>
    <row r="53" spans="2:37" s="72" customFormat="1" ht="28.8" x14ac:dyDescent="0.3">
      <c r="B53" s="71"/>
      <c r="C53" s="71"/>
      <c r="D53" s="287" t="s">
        <v>268</v>
      </c>
      <c r="E53" s="288">
        <f>H53+H54</f>
        <v>2.04</v>
      </c>
      <c r="F53" s="171">
        <f>E53/1000</f>
        <v>2.0400000000000001E-3</v>
      </c>
      <c r="G53" s="289" t="s">
        <v>269</v>
      </c>
      <c r="H53" s="279">
        <v>0.7</v>
      </c>
      <c r="I53" s="71"/>
      <c r="J53" s="71"/>
      <c r="K53" s="71"/>
      <c r="L53" s="71" t="s">
        <v>270</v>
      </c>
      <c r="M53" s="71"/>
      <c r="N53" s="278">
        <v>3092.74</v>
      </c>
      <c r="O53" s="71"/>
      <c r="P53" s="71"/>
      <c r="Q53" s="71"/>
      <c r="R53" s="71"/>
      <c r="S53" s="71"/>
      <c r="T53" s="71"/>
      <c r="U53" s="71"/>
      <c r="V53" s="261" t="s">
        <v>254</v>
      </c>
      <c r="W53" s="283" t="s">
        <v>271</v>
      </c>
      <c r="Y53" s="71"/>
      <c r="Z53" s="71"/>
      <c r="AA53" s="71"/>
      <c r="AB53" s="71"/>
      <c r="AC53" s="71"/>
      <c r="AD53" s="71"/>
      <c r="AE53" s="71"/>
      <c r="AF53" s="71"/>
      <c r="AG53" s="71"/>
      <c r="AH53" s="71"/>
      <c r="AI53" s="71"/>
      <c r="AJ53" s="71"/>
      <c r="AK53" s="71"/>
    </row>
    <row r="54" spans="2:37" s="72" customFormat="1" ht="48.6" x14ac:dyDescent="0.3">
      <c r="B54" s="71"/>
      <c r="C54" s="71"/>
      <c r="D54" s="287" t="s">
        <v>239</v>
      </c>
      <c r="E54" s="290">
        <f>13/1000</f>
        <v>1.2999999999999999E-2</v>
      </c>
      <c r="F54" s="261" t="s">
        <v>272</v>
      </c>
      <c r="G54" s="291" t="s">
        <v>273</v>
      </c>
      <c r="H54" s="292">
        <v>1.34</v>
      </c>
      <c r="I54" s="71"/>
      <c r="J54" s="71"/>
      <c r="K54" s="71"/>
      <c r="L54" s="71"/>
      <c r="M54" s="71"/>
      <c r="N54" s="71"/>
      <c r="O54" s="71"/>
      <c r="P54" s="71"/>
      <c r="Q54" s="71"/>
      <c r="R54" s="71"/>
      <c r="S54" s="71"/>
      <c r="T54" s="71"/>
      <c r="U54" s="71"/>
      <c r="V54" s="261" t="s">
        <v>257</v>
      </c>
      <c r="W54" s="48" t="s">
        <v>274</v>
      </c>
      <c r="Y54" s="71"/>
      <c r="Z54" s="71"/>
      <c r="AA54" s="71"/>
      <c r="AB54" s="71"/>
      <c r="AC54" s="71"/>
      <c r="AD54" s="71"/>
      <c r="AE54" s="71"/>
      <c r="AF54" s="71"/>
      <c r="AG54" s="71"/>
      <c r="AH54" s="71"/>
      <c r="AI54" s="71"/>
      <c r="AJ54" s="71"/>
      <c r="AK54" s="71"/>
    </row>
    <row r="55" spans="2:37" s="72" customFormat="1" ht="28.8" x14ac:dyDescent="0.3">
      <c r="B55" s="71"/>
      <c r="C55" s="71"/>
      <c r="D55" s="115" t="s">
        <v>275</v>
      </c>
      <c r="E55" s="290" t="s">
        <v>276</v>
      </c>
      <c r="F55" s="26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row>
    <row r="56" spans="2:37" s="72" customFormat="1" ht="43.2" x14ac:dyDescent="0.3">
      <c r="B56" s="71"/>
      <c r="C56" s="71"/>
      <c r="D56" s="115" t="s">
        <v>277</v>
      </c>
      <c r="E56" s="290">
        <v>519</v>
      </c>
      <c r="F56" s="261"/>
      <c r="G56" s="71"/>
      <c r="H56" s="71"/>
      <c r="I56" s="71"/>
      <c r="J56" s="71"/>
      <c r="K56" s="71"/>
      <c r="L56" s="71"/>
      <c r="M56" s="71"/>
      <c r="N56" s="71"/>
      <c r="O56" s="71"/>
      <c r="P56" s="71"/>
      <c r="Q56" s="71"/>
      <c r="R56" s="71"/>
      <c r="S56" s="71"/>
      <c r="T56" s="71"/>
      <c r="U56" s="71"/>
      <c r="V56" s="71"/>
      <c r="W56" s="10"/>
      <c r="X56" s="71"/>
      <c r="Y56" s="59"/>
      <c r="Z56" s="71"/>
      <c r="AA56" s="71"/>
      <c r="AB56" s="71"/>
      <c r="AC56" s="71"/>
      <c r="AD56" s="71"/>
      <c r="AE56" s="71"/>
      <c r="AF56" s="71"/>
      <c r="AG56" s="71"/>
      <c r="AH56" s="71"/>
      <c r="AI56" s="71"/>
      <c r="AJ56" s="71"/>
      <c r="AK56" s="71"/>
    </row>
    <row r="57" spans="2:37" s="72" customFormat="1" x14ac:dyDescent="0.3">
      <c r="B57" s="71"/>
      <c r="C57" s="71"/>
      <c r="D57" s="71"/>
      <c r="E57" s="71"/>
      <c r="F57" s="71"/>
      <c r="G57" s="71"/>
      <c r="H57" s="71"/>
      <c r="I57" s="71"/>
      <c r="J57" s="71"/>
      <c r="K57" s="71"/>
      <c r="L57" s="71"/>
      <c r="M57" s="71"/>
      <c r="N57" s="71"/>
      <c r="O57" s="71"/>
      <c r="P57" s="71"/>
      <c r="Q57" s="71"/>
      <c r="R57" s="71"/>
      <c r="S57" s="71"/>
      <c r="T57" s="71"/>
      <c r="U57" s="71"/>
      <c r="V57" s="71"/>
      <c r="W57" s="10"/>
      <c r="X57" s="71"/>
      <c r="Y57" s="59"/>
      <c r="Z57" s="71"/>
      <c r="AA57" s="71"/>
      <c r="AB57" s="71"/>
      <c r="AC57" s="71"/>
      <c r="AD57" s="71"/>
      <c r="AE57" s="71"/>
      <c r="AF57" s="71"/>
      <c r="AG57" s="71"/>
      <c r="AH57" s="71"/>
      <c r="AI57" s="71"/>
      <c r="AJ57" s="71"/>
      <c r="AK57" s="71"/>
    </row>
    <row r="58" spans="2:37" s="72" customFormat="1" ht="28.8" x14ac:dyDescent="0.3">
      <c r="B58" s="71"/>
      <c r="C58" s="71"/>
      <c r="D58" s="71"/>
      <c r="E58" s="71"/>
      <c r="F58" s="71"/>
      <c r="G58" s="71"/>
      <c r="H58" s="71"/>
      <c r="I58" s="71"/>
      <c r="J58" s="71" t="s">
        <v>278</v>
      </c>
      <c r="K58" s="71"/>
      <c r="L58" s="71"/>
      <c r="M58" s="71"/>
      <c r="N58" s="293"/>
      <c r="O58" s="71"/>
      <c r="P58" s="71"/>
      <c r="Q58" s="71"/>
      <c r="R58" s="71"/>
      <c r="S58" s="71"/>
      <c r="T58" s="71"/>
      <c r="U58" s="71"/>
      <c r="V58" s="71"/>
      <c r="W58" s="10"/>
      <c r="X58" s="71"/>
      <c r="Y58" s="59"/>
      <c r="Z58" s="71"/>
      <c r="AA58" s="71"/>
      <c r="AB58" s="71"/>
      <c r="AC58" s="71"/>
      <c r="AD58" s="71"/>
      <c r="AE58" s="71"/>
      <c r="AF58" s="71"/>
      <c r="AG58" s="71"/>
      <c r="AH58" s="71"/>
      <c r="AI58" s="71"/>
      <c r="AJ58" s="71"/>
      <c r="AK58" s="71"/>
    </row>
    <row r="59" spans="2:37" s="72" customFormat="1" ht="43.2" x14ac:dyDescent="0.3">
      <c r="B59" s="71"/>
      <c r="C59" s="71"/>
      <c r="D59" s="71" t="s">
        <v>279</v>
      </c>
      <c r="E59" s="287" t="s">
        <v>280</v>
      </c>
      <c r="F59" s="287" t="s">
        <v>281</v>
      </c>
      <c r="G59" s="287" t="s">
        <v>129</v>
      </c>
      <c r="H59" s="287" t="s">
        <v>282</v>
      </c>
      <c r="I59" s="287" t="s">
        <v>283</v>
      </c>
      <c r="J59" s="71">
        <f>YEAR(D43)</f>
        <v>2022</v>
      </c>
      <c r="K59" s="71" t="s">
        <v>284</v>
      </c>
      <c r="L59" s="71"/>
      <c r="M59" s="71"/>
      <c r="N59" s="71"/>
      <c r="O59" s="71"/>
      <c r="P59" s="71"/>
      <c r="Q59" s="71"/>
      <c r="R59" s="71"/>
      <c r="S59" s="71"/>
      <c r="T59" s="71"/>
      <c r="U59" s="71"/>
      <c r="V59" s="71"/>
      <c r="W59" s="71"/>
      <c r="X59" s="71"/>
      <c r="Y59" s="59"/>
      <c r="Z59" s="71"/>
      <c r="AA59" s="71"/>
      <c r="AB59" s="71"/>
      <c r="AC59" s="71"/>
      <c r="AD59" s="71"/>
      <c r="AE59" s="71"/>
      <c r="AF59" s="71"/>
      <c r="AG59" s="71"/>
      <c r="AH59" s="71"/>
      <c r="AI59" s="71"/>
      <c r="AJ59" s="71"/>
      <c r="AK59" s="71"/>
    </row>
    <row r="60" spans="2:37" s="72" customFormat="1" x14ac:dyDescent="0.3">
      <c r="B60" s="71"/>
      <c r="C60" s="71"/>
      <c r="D60" s="71">
        <v>1</v>
      </c>
      <c r="E60" s="171" t="s">
        <v>155</v>
      </c>
      <c r="F60" s="294">
        <f>DAY(EOMONTH(DATE(YEAR(D43),$D60,1),0))</f>
        <v>31</v>
      </c>
      <c r="G60" s="295">
        <v>1.43</v>
      </c>
      <c r="H60" s="296">
        <v>0.4</v>
      </c>
      <c r="I60" s="295">
        <v>0.72</v>
      </c>
      <c r="J60" s="293">
        <f>EOMONTH(DATE(YEAR(D43),$D60,1),0)</f>
        <v>44592</v>
      </c>
      <c r="K60" s="293">
        <f>J60-F60+1</f>
        <v>44562</v>
      </c>
      <c r="L60" s="293">
        <f>J60</f>
        <v>44592</v>
      </c>
      <c r="M60" s="71"/>
      <c r="N60" s="71"/>
      <c r="O60" s="71"/>
      <c r="P60" s="71"/>
      <c r="Q60" s="71"/>
      <c r="R60" s="71"/>
      <c r="S60" s="71"/>
      <c r="T60" s="71"/>
      <c r="U60" s="293"/>
      <c r="V60" s="71"/>
      <c r="W60" s="71"/>
      <c r="X60" s="71"/>
      <c r="Y60" s="71"/>
      <c r="Z60" s="71"/>
      <c r="AA60" s="71"/>
      <c r="AB60" s="71"/>
      <c r="AC60" s="71"/>
      <c r="AD60" s="71"/>
      <c r="AE60" s="71"/>
      <c r="AF60" s="71"/>
      <c r="AG60" s="71"/>
      <c r="AH60" s="71"/>
      <c r="AI60" s="71"/>
      <c r="AJ60" s="71"/>
      <c r="AK60" s="71"/>
    </row>
    <row r="61" spans="2:37" s="72" customFormat="1" x14ac:dyDescent="0.3">
      <c r="B61" s="71"/>
      <c r="C61" s="71"/>
      <c r="D61" s="71">
        <v>2</v>
      </c>
      <c r="E61" s="171" t="s">
        <v>157</v>
      </c>
      <c r="F61" s="294">
        <f>DAY(EOMONTH(DATE(YEAR(D43),$D61,1),0))</f>
        <v>28</v>
      </c>
      <c r="G61" s="295">
        <v>1.43</v>
      </c>
      <c r="H61" s="296">
        <v>0.4</v>
      </c>
      <c r="I61" s="295">
        <v>0.72</v>
      </c>
      <c r="J61" s="293">
        <f>EOMONTH(DATE(YEAR(D43),$D61,1),0)</f>
        <v>44620</v>
      </c>
      <c r="K61" s="293">
        <f t="shared" ref="K61:K71" si="18">J61-F61+1</f>
        <v>44593</v>
      </c>
      <c r="L61" s="293">
        <f t="shared" ref="L61:L71" si="19">J61</f>
        <v>44620</v>
      </c>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row>
    <row r="62" spans="2:37" s="72" customFormat="1" x14ac:dyDescent="0.3">
      <c r="B62" s="71"/>
      <c r="C62" s="71"/>
      <c r="D62" s="71">
        <v>3</v>
      </c>
      <c r="E62" s="171" t="s">
        <v>159</v>
      </c>
      <c r="F62" s="294">
        <f>DAY(EOMONTH(DATE(YEAR(D43),$D62,1),0))</f>
        <v>31</v>
      </c>
      <c r="G62" s="295">
        <v>0.71</v>
      </c>
      <c r="H62" s="296">
        <v>0.2</v>
      </c>
      <c r="I62" s="295">
        <v>0.28000000000000003</v>
      </c>
      <c r="J62" s="293">
        <f>EOMONTH(DATE(YEAR(D43),$D62,1),0)</f>
        <v>44651</v>
      </c>
      <c r="K62" s="293">
        <f t="shared" si="18"/>
        <v>44621</v>
      </c>
      <c r="L62" s="293">
        <f t="shared" si="19"/>
        <v>44651</v>
      </c>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row>
    <row r="63" spans="2:37" s="72" customFormat="1" x14ac:dyDescent="0.3">
      <c r="B63" s="71"/>
      <c r="C63" s="71"/>
      <c r="D63" s="71">
        <v>4</v>
      </c>
      <c r="E63" s="171" t="s">
        <v>165</v>
      </c>
      <c r="F63" s="294">
        <f>DAY(EOMONTH(DATE(YEAR(D43),$D63,1),0))</f>
        <v>30</v>
      </c>
      <c r="G63" s="295">
        <v>0.23</v>
      </c>
      <c r="H63" s="297">
        <v>8.3000000000000004E-2</v>
      </c>
      <c r="I63" s="281">
        <v>9.9599999999999994E-2</v>
      </c>
      <c r="J63" s="293">
        <f>EOMONTH(DATE(YEAR(D43),$D63,1),0)</f>
        <v>44681</v>
      </c>
      <c r="K63" s="293">
        <f t="shared" si="18"/>
        <v>44652</v>
      </c>
      <c r="L63" s="293">
        <f t="shared" si="19"/>
        <v>44681</v>
      </c>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row>
    <row r="64" spans="2:37" s="72" customFormat="1" x14ac:dyDescent="0.3">
      <c r="B64" s="71"/>
      <c r="C64" s="71"/>
      <c r="D64" s="71">
        <v>5</v>
      </c>
      <c r="E64" s="171" t="s">
        <v>169</v>
      </c>
      <c r="F64" s="294">
        <f>DAY(EOMONTH(DATE(YEAR(D43),$D64,1),0))</f>
        <v>31</v>
      </c>
      <c r="G64" s="295">
        <v>0.23</v>
      </c>
      <c r="H64" s="297">
        <v>8.3000000000000004E-2</v>
      </c>
      <c r="I64" s="281">
        <v>9.9599999999999994E-2</v>
      </c>
      <c r="J64" s="293">
        <f>EOMONTH(DATE(YEAR(D43),$D64,1),0)</f>
        <v>44712</v>
      </c>
      <c r="K64" s="293">
        <f t="shared" si="18"/>
        <v>44682</v>
      </c>
      <c r="L64" s="293">
        <f t="shared" si="19"/>
        <v>44712</v>
      </c>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row>
    <row r="65" spans="2:37" s="72" customFormat="1" x14ac:dyDescent="0.3">
      <c r="B65" s="71"/>
      <c r="C65" s="71"/>
      <c r="D65" s="71">
        <v>6</v>
      </c>
      <c r="E65" s="171" t="s">
        <v>189</v>
      </c>
      <c r="F65" s="294">
        <f>DAY(EOMONTH(DATE(YEAR(D43),$D65,1),0))</f>
        <v>30</v>
      </c>
      <c r="G65" s="295">
        <v>0.23</v>
      </c>
      <c r="H65" s="297">
        <v>8.3000000000000004E-2</v>
      </c>
      <c r="I65" s="281">
        <v>9.9599999999999994E-2</v>
      </c>
      <c r="J65" s="293">
        <f>EOMONTH(DATE(YEAR(D43),$D65,1),0)</f>
        <v>44742</v>
      </c>
      <c r="K65" s="293">
        <f t="shared" si="18"/>
        <v>44713</v>
      </c>
      <c r="L65" s="293">
        <f t="shared" si="19"/>
        <v>44742</v>
      </c>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row>
    <row r="66" spans="2:37" s="72" customFormat="1" x14ac:dyDescent="0.3">
      <c r="B66" s="71"/>
      <c r="C66" s="71"/>
      <c r="D66" s="71">
        <v>7</v>
      </c>
      <c r="E66" s="171" t="s">
        <v>192</v>
      </c>
      <c r="F66" s="294">
        <f>DAY(EOMONTH(DATE(YEAR(D43),$D66,1),0))</f>
        <v>31</v>
      </c>
      <c r="G66" s="295">
        <v>0.23</v>
      </c>
      <c r="H66" s="297">
        <v>8.3000000000000004E-2</v>
      </c>
      <c r="I66" s="281">
        <v>9.9599999999999994E-2</v>
      </c>
      <c r="J66" s="293">
        <f>EOMONTH(DATE(YEAR(D43),$D66,1),0)</f>
        <v>44773</v>
      </c>
      <c r="K66" s="293">
        <f t="shared" si="18"/>
        <v>44743</v>
      </c>
      <c r="L66" s="293">
        <f t="shared" si="19"/>
        <v>44773</v>
      </c>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row>
    <row r="67" spans="2:37" s="72" customFormat="1" x14ac:dyDescent="0.3">
      <c r="B67" s="71"/>
      <c r="C67" s="71"/>
      <c r="D67" s="71">
        <v>8</v>
      </c>
      <c r="E67" s="171" t="s">
        <v>195</v>
      </c>
      <c r="F67" s="294">
        <f>DAY(EOMONTH(DATE(YEAR(D43),$D67,1),0))</f>
        <v>31</v>
      </c>
      <c r="G67" s="295">
        <v>0.23</v>
      </c>
      <c r="H67" s="297">
        <v>8.3000000000000004E-2</v>
      </c>
      <c r="I67" s="281">
        <v>9.9599999999999994E-2</v>
      </c>
      <c r="J67" s="293">
        <f>EOMONTH(DATE(YEAR(D43),$D67,1),0)</f>
        <v>44804</v>
      </c>
      <c r="K67" s="293">
        <f t="shared" si="18"/>
        <v>44774</v>
      </c>
      <c r="L67" s="293">
        <f t="shared" si="19"/>
        <v>44804</v>
      </c>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row>
    <row r="68" spans="2:37" s="72" customFormat="1" x14ac:dyDescent="0.3">
      <c r="B68" s="71"/>
      <c r="C68" s="71"/>
      <c r="D68" s="71">
        <v>9</v>
      </c>
      <c r="E68" s="171" t="s">
        <v>198</v>
      </c>
      <c r="F68" s="294">
        <f>DAY(EOMONTH(DATE(YEAR(D43),$D68,1),0))</f>
        <v>30</v>
      </c>
      <c r="G68" s="295">
        <v>0.23</v>
      </c>
      <c r="H68" s="297">
        <v>8.3000000000000004E-2</v>
      </c>
      <c r="I68" s="281">
        <v>9.9599999999999994E-2</v>
      </c>
      <c r="J68" s="293">
        <f>EOMONTH(DATE(YEAR(D43),$D68,1),0)</f>
        <v>44834</v>
      </c>
      <c r="K68" s="293">
        <f t="shared" si="18"/>
        <v>44805</v>
      </c>
      <c r="L68" s="293">
        <f t="shared" si="19"/>
        <v>44834</v>
      </c>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row>
    <row r="69" spans="2:37" s="72" customFormat="1" x14ac:dyDescent="0.3">
      <c r="B69" s="71"/>
      <c r="C69" s="71"/>
      <c r="D69" s="71">
        <v>10</v>
      </c>
      <c r="E69" s="171" t="s">
        <v>201</v>
      </c>
      <c r="F69" s="294">
        <f>DAY(EOMONTH(DATE(YEAR(D43),$D69,1),0))</f>
        <v>31</v>
      </c>
      <c r="G69" s="295">
        <v>0.23</v>
      </c>
      <c r="H69" s="297">
        <v>8.3000000000000004E-2</v>
      </c>
      <c r="I69" s="281">
        <v>9.9599999999999994E-2</v>
      </c>
      <c r="J69" s="293">
        <f>EOMONTH(DATE(YEAR(D43),$D69,1),0)</f>
        <v>44865</v>
      </c>
      <c r="K69" s="293">
        <f t="shared" si="18"/>
        <v>44835</v>
      </c>
      <c r="L69" s="293">
        <f t="shared" si="19"/>
        <v>44865</v>
      </c>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row>
    <row r="70" spans="2:37" s="72" customFormat="1" x14ac:dyDescent="0.3">
      <c r="B70" s="71"/>
      <c r="C70" s="71"/>
      <c r="D70" s="71">
        <v>11</v>
      </c>
      <c r="E70" s="171" t="s">
        <v>204</v>
      </c>
      <c r="F70" s="294">
        <f>DAY(EOMONTH(DATE(YEAR(D43),$D70,1),0))</f>
        <v>30</v>
      </c>
      <c r="G70" s="295">
        <v>0.71</v>
      </c>
      <c r="H70" s="296">
        <v>0.2</v>
      </c>
      <c r="I70" s="295">
        <v>0.28000000000000003</v>
      </c>
      <c r="J70" s="293">
        <f>EOMONTH(DATE(YEAR(D43),$D70,1),0)</f>
        <v>44895</v>
      </c>
      <c r="K70" s="293">
        <f t="shared" si="18"/>
        <v>44866</v>
      </c>
      <c r="L70" s="293">
        <f t="shared" si="19"/>
        <v>44895</v>
      </c>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row>
    <row r="71" spans="2:37" s="72" customFormat="1" x14ac:dyDescent="0.3">
      <c r="B71" s="71"/>
      <c r="C71" s="71"/>
      <c r="D71" s="71">
        <v>12</v>
      </c>
      <c r="E71" s="171" t="s">
        <v>207</v>
      </c>
      <c r="F71" s="294">
        <f>DAY(EOMONTH(DATE(YEAR(D43),$D71,1),0))</f>
        <v>31</v>
      </c>
      <c r="G71" s="295">
        <v>1.43</v>
      </c>
      <c r="H71" s="296">
        <v>0.4</v>
      </c>
      <c r="I71" s="295">
        <v>0.72</v>
      </c>
      <c r="J71" s="293">
        <f>EOMONTH(DATE(YEAR(D43),$D71,1),0)</f>
        <v>44926</v>
      </c>
      <c r="K71" s="293">
        <f t="shared" si="18"/>
        <v>44896</v>
      </c>
      <c r="L71" s="293">
        <f t="shared" si="19"/>
        <v>44926</v>
      </c>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row>
    <row r="72" spans="2:37" s="72" customFormat="1" x14ac:dyDescent="0.3">
      <c r="B72" s="71"/>
      <c r="C72" s="71"/>
      <c r="D72" s="71"/>
      <c r="E72" s="71"/>
      <c r="F72" s="83">
        <f>SUM(F60:F71)</f>
        <v>365</v>
      </c>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row>
    <row r="73" spans="2:37" s="72" customFormat="1" x14ac:dyDescent="0.3">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row>
    <row r="74" spans="2:37" s="72" customFormat="1" x14ac:dyDescent="0.3">
      <c r="B74" s="71"/>
      <c r="C74" s="71"/>
      <c r="D74" s="694"/>
      <c r="E74" s="71" t="s">
        <v>179</v>
      </c>
      <c r="F74" s="71" t="s">
        <v>180</v>
      </c>
      <c r="G74" s="71" t="s">
        <v>181</v>
      </c>
      <c r="H74" s="71" t="s">
        <v>182</v>
      </c>
      <c r="I74" s="71" t="s">
        <v>183</v>
      </c>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row>
    <row r="75" spans="2:37" s="72" customFormat="1" ht="57.6" x14ac:dyDescent="0.3">
      <c r="B75" s="71"/>
      <c r="C75" s="71"/>
      <c r="D75" s="694"/>
      <c r="E75" s="71" t="s">
        <v>285</v>
      </c>
      <c r="F75" s="71" t="s">
        <v>285</v>
      </c>
      <c r="G75" s="71" t="s">
        <v>285</v>
      </c>
      <c r="H75" s="71" t="s">
        <v>285</v>
      </c>
      <c r="I75" s="71" t="s">
        <v>285</v>
      </c>
      <c r="J75" s="71"/>
      <c r="K75" s="71"/>
      <c r="L75" s="71"/>
      <c r="M75" s="71"/>
      <c r="N75" s="71"/>
      <c r="O75" s="71"/>
      <c r="P75" s="71"/>
      <c r="Q75" s="71"/>
      <c r="R75" s="71"/>
      <c r="S75" s="71"/>
      <c r="T75" s="71"/>
      <c r="U75" s="59" t="s">
        <v>286</v>
      </c>
      <c r="V75" s="71"/>
      <c r="W75" s="71"/>
      <c r="X75" s="71"/>
      <c r="Y75" s="71"/>
      <c r="Z75" s="71"/>
      <c r="AA75" s="71"/>
      <c r="AB75" s="71"/>
      <c r="AC75" s="71"/>
      <c r="AD75" s="71"/>
      <c r="AE75" s="71"/>
      <c r="AF75" s="71"/>
      <c r="AG75" s="71"/>
      <c r="AH75" s="71"/>
      <c r="AI75" s="71"/>
      <c r="AJ75" s="71"/>
      <c r="AK75" s="71"/>
    </row>
    <row r="76" spans="2:37" s="72" customFormat="1" ht="28.8" x14ac:dyDescent="0.3">
      <c r="B76" s="83" t="s">
        <v>287</v>
      </c>
      <c r="C76" s="71"/>
      <c r="D76" s="71"/>
      <c r="E76" s="298">
        <f>EOMONTH(E78,1)</f>
        <v>59</v>
      </c>
      <c r="F76" s="298">
        <f t="shared" ref="F76:H76" si="20">EOMONTH(F78,1)</f>
        <v>59</v>
      </c>
      <c r="G76" s="298">
        <f t="shared" si="20"/>
        <v>59</v>
      </c>
      <c r="H76" s="298">
        <f t="shared" si="20"/>
        <v>59</v>
      </c>
      <c r="I76" s="298">
        <f>EOMONTH(I78,1)</f>
        <v>59</v>
      </c>
      <c r="J76" s="59" t="s">
        <v>288</v>
      </c>
      <c r="K76" s="298"/>
      <c r="L76" s="298"/>
      <c r="M76" s="298"/>
      <c r="N76" s="436">
        <f>IF(MONTH('Klasik, CNG, M3R, výrobce'!F6=1),'Klasik, CNG, M3R, výrobce'!$K$60-30,'Klasik, CNG, M3R, výrobce'!E$79)</f>
        <v>44532</v>
      </c>
      <c r="O76" s="59"/>
      <c r="P76" s="71"/>
      <c r="Q76" s="71"/>
      <c r="R76" s="71"/>
      <c r="S76" s="71"/>
      <c r="T76" s="71"/>
      <c r="U76" s="71"/>
      <c r="V76" s="71"/>
      <c r="W76" s="71"/>
      <c r="X76" s="71"/>
      <c r="Y76" s="71"/>
      <c r="Z76" s="71"/>
      <c r="AA76" s="71"/>
      <c r="AB76" s="71"/>
      <c r="AC76" s="71"/>
      <c r="AD76" s="71"/>
      <c r="AE76" s="71"/>
      <c r="AF76" s="71"/>
      <c r="AG76" s="71"/>
      <c r="AH76" s="71"/>
      <c r="AI76" s="71"/>
      <c r="AJ76" s="71"/>
      <c r="AK76" s="71"/>
    </row>
    <row r="77" spans="2:37" s="72" customFormat="1" x14ac:dyDescent="0.3">
      <c r="B77" s="71"/>
      <c r="C77" s="71"/>
      <c r="D77" s="71"/>
      <c r="E77" s="298">
        <f>VLOOKUP(MONTH(E78),$D$60:$F$71,3,FALSE)+E78-1</f>
        <v>30</v>
      </c>
      <c r="F77" s="298">
        <f t="shared" ref="F77:I77" si="21">VLOOKUP(MONTH(F78),$D$60:$F$71,3,FALSE)+F78-1</f>
        <v>30</v>
      </c>
      <c r="G77" s="298">
        <f t="shared" si="21"/>
        <v>30</v>
      </c>
      <c r="H77" s="298">
        <f t="shared" si="21"/>
        <v>30</v>
      </c>
      <c r="I77" s="298">
        <f t="shared" si="21"/>
        <v>30</v>
      </c>
      <c r="J77" s="59" t="s">
        <v>289</v>
      </c>
      <c r="K77" s="293"/>
      <c r="L77" s="293"/>
      <c r="M77" s="293"/>
      <c r="O77" s="59"/>
      <c r="P77" s="71"/>
      <c r="Q77" s="71"/>
      <c r="R77" s="71"/>
      <c r="S77" s="71"/>
      <c r="T77" s="71"/>
      <c r="U77" s="71"/>
      <c r="V77" s="71"/>
      <c r="W77" s="71"/>
      <c r="X77" s="71"/>
      <c r="Y77" s="71"/>
      <c r="Z77" s="71"/>
      <c r="AA77" s="71"/>
      <c r="AB77" s="71"/>
      <c r="AC77" s="71"/>
      <c r="AD77" s="71"/>
      <c r="AE77" s="71"/>
      <c r="AF77" s="71"/>
      <c r="AG77" s="71"/>
      <c r="AH77" s="71"/>
      <c r="AI77" s="71"/>
      <c r="AJ77" s="71"/>
      <c r="AK77" s="71"/>
    </row>
    <row r="78" spans="2:37" s="72" customFormat="1" x14ac:dyDescent="0.3">
      <c r="B78" s="71"/>
      <c r="C78" s="71"/>
      <c r="D78" s="71"/>
      <c r="E78" s="293">
        <f>$N$26</f>
        <v>0</v>
      </c>
      <c r="F78" s="293">
        <f>$N$27</f>
        <v>0</v>
      </c>
      <c r="G78" s="293">
        <f>$N$28</f>
        <v>0</v>
      </c>
      <c r="H78" s="293">
        <f>$N$29</f>
        <v>0</v>
      </c>
      <c r="I78" s="293">
        <f>$N$30</f>
        <v>0</v>
      </c>
      <c r="J78" s="71" t="s">
        <v>290</v>
      </c>
      <c r="K78" s="293"/>
      <c r="L78" s="293"/>
      <c r="M78" s="293"/>
      <c r="O78" s="71"/>
      <c r="P78" s="71"/>
      <c r="Q78" s="71"/>
      <c r="R78" s="71"/>
      <c r="S78" s="71"/>
      <c r="T78" s="71"/>
      <c r="U78" s="71"/>
      <c r="V78" s="71"/>
      <c r="W78" s="71"/>
      <c r="X78" s="71"/>
      <c r="Y78" s="71"/>
      <c r="Z78" s="71"/>
      <c r="AA78" s="71"/>
      <c r="AB78" s="71"/>
      <c r="AC78" s="71"/>
      <c r="AD78" s="71"/>
      <c r="AE78" s="71"/>
      <c r="AF78" s="71"/>
      <c r="AG78" s="71"/>
      <c r="AH78" s="71"/>
      <c r="AI78" s="71"/>
      <c r="AJ78" s="71"/>
      <c r="AK78" s="71"/>
    </row>
    <row r="79" spans="2:37" s="72" customFormat="1" x14ac:dyDescent="0.3">
      <c r="B79" s="71"/>
      <c r="C79" s="71"/>
      <c r="D79" s="71"/>
      <c r="E79" s="293">
        <f>EOMONTH(DATE(YEAR($F$7),$E$81,-1),-1)+2</f>
        <v>44532</v>
      </c>
      <c r="F79" s="293">
        <f>EOMONTH(DATE(YEAR($F$7),$F$81,-1),-1)+2</f>
        <v>44532</v>
      </c>
      <c r="G79" s="293">
        <f>EOMONTH(DATE(YEAR($F$7),$G$81,-1),-1)+2</f>
        <v>44532</v>
      </c>
      <c r="H79" s="293">
        <f>EOMONTH(DATE(YEAR($F$7),$H$81,-1),-1)+2</f>
        <v>44532</v>
      </c>
      <c r="I79" s="293">
        <f>EOMONTH(DATE(YEAR($F$7),$I$81,-1),-1)+2</f>
        <v>44532</v>
      </c>
      <c r="J79" s="322" t="s">
        <v>296</v>
      </c>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row>
    <row r="80" spans="2:37" s="72" customFormat="1" x14ac:dyDescent="0.3">
      <c r="B80" s="71"/>
      <c r="C80" s="71"/>
      <c r="D80" s="71"/>
      <c r="E80" s="293">
        <f>EOMONTH(DATE(YEAR($F$7),$E$81,1),0)</f>
        <v>44592</v>
      </c>
      <c r="F80" s="293">
        <f>EOMONTH(DATE(YEAR($F$7),$E$81,1),0)</f>
        <v>44592</v>
      </c>
      <c r="G80" s="293">
        <f>EOMONTH(DATE(YEAR($F$7),$E$81,1),0)</f>
        <v>44592</v>
      </c>
      <c r="H80" s="293">
        <f>EOMONTH(DATE(YEAR($F$7),$E$81,1),0)</f>
        <v>44592</v>
      </c>
      <c r="I80" s="293">
        <f>EOMONTH(DATE(YEAR($F$7),$E$81,1),0)</f>
        <v>44592</v>
      </c>
      <c r="J80" s="321" t="s">
        <v>297</v>
      </c>
      <c r="K80" s="299"/>
      <c r="L80" s="299"/>
      <c r="M80" s="299"/>
      <c r="N80" s="299"/>
      <c r="O80" s="299"/>
      <c r="P80" s="71"/>
      <c r="Q80" s="71"/>
      <c r="R80" s="71"/>
      <c r="S80" s="71"/>
      <c r="T80" s="71"/>
      <c r="U80" s="71"/>
      <c r="V80" s="71"/>
      <c r="W80" s="71"/>
      <c r="X80" s="71"/>
      <c r="Y80" s="71"/>
      <c r="Z80" s="71"/>
      <c r="AA80" s="71"/>
      <c r="AB80" s="71"/>
      <c r="AC80" s="71"/>
      <c r="AD80" s="71"/>
      <c r="AE80" s="71"/>
      <c r="AF80" s="71"/>
      <c r="AG80" s="71"/>
      <c r="AH80" s="71"/>
      <c r="AI80" s="71"/>
      <c r="AJ80" s="71"/>
      <c r="AK80" s="71"/>
    </row>
    <row r="81" spans="5:10" s="72" customFormat="1" ht="43.2" x14ac:dyDescent="0.3">
      <c r="E81" s="434">
        <f>MONTH($F$7)</f>
        <v>1</v>
      </c>
      <c r="F81" s="434">
        <f>MONTH($F$7)</f>
        <v>1</v>
      </c>
      <c r="G81" s="434">
        <f>MONTH($F$7)</f>
        <v>1</v>
      </c>
      <c r="H81" s="434">
        <f>MONTH($F$7)</f>
        <v>1</v>
      </c>
      <c r="I81" s="434">
        <f>MONTH($F$7)</f>
        <v>1</v>
      </c>
      <c r="J81" s="72" t="s">
        <v>298</v>
      </c>
    </row>
    <row r="82" spans="5:10" s="72" customFormat="1" ht="43.2" x14ac:dyDescent="0.3">
      <c r="E82" s="325">
        <f>IF(($N$26&lt;$F$7),E83-$F$7+1,E83-$N$26+1)</f>
        <v>-44561</v>
      </c>
      <c r="F82" s="325">
        <f>IF(($N$27&lt;$F$7),F83-$F$7+1,F83-$N$27+1)</f>
        <v>-44561</v>
      </c>
      <c r="G82" s="325">
        <f>IF(($N$28&lt;$F$7),G83-$F$7+1,G83-$N$28+1)</f>
        <v>-44561</v>
      </c>
      <c r="H82" s="325">
        <f>IF(($N$29&lt;$F$7),H83-$F$7+1,H83-$N$29+1)</f>
        <v>-44561</v>
      </c>
      <c r="I82" s="325">
        <f>IF(($N$30&lt;$F$7),I83-$F$7+1,I83-$N$30+1)</f>
        <v>-44561</v>
      </c>
      <c r="J82" s="72" t="s">
        <v>299</v>
      </c>
    </row>
    <row r="83" spans="5:10" s="72" customFormat="1" ht="57.6" x14ac:dyDescent="0.3">
      <c r="E83" s="436">
        <f>IF($O$26&gt;$G$7,$G$7,$O$26)</f>
        <v>0</v>
      </c>
      <c r="F83" s="436">
        <f>IF($O$27&gt;$G$7,$G$7,$O$27)</f>
        <v>0</v>
      </c>
      <c r="G83" s="436">
        <f>IF($O$28&gt;$G$7,$G$7,$O$28)</f>
        <v>0</v>
      </c>
      <c r="H83" s="436">
        <f>IF($O$29&gt;$G$7,$G$7,$O$29)</f>
        <v>0</v>
      </c>
      <c r="I83" s="436">
        <f>IF($O$30&gt;$G$7,$G$7,$O$30)</f>
        <v>0</v>
      </c>
      <c r="J83" s="72" t="s">
        <v>300</v>
      </c>
    </row>
    <row r="84" spans="5:10" s="72" customFormat="1" x14ac:dyDescent="0.3">
      <c r="E84" s="323"/>
    </row>
    <row r="85" spans="5:10" s="72" customFormat="1" x14ac:dyDescent="0.3">
      <c r="E85" s="323"/>
    </row>
    <row r="86" spans="5:10" s="72" customFormat="1" x14ac:dyDescent="0.3"/>
    <row r="87" spans="5:10" s="72" customFormat="1" x14ac:dyDescent="0.3"/>
    <row r="88" spans="5:10" s="72" customFormat="1" x14ac:dyDescent="0.3">
      <c r="E88" s="293"/>
      <c r="F88" s="293"/>
      <c r="G88" s="293"/>
      <c r="H88" s="293"/>
      <c r="I88" s="293"/>
      <c r="J88" s="322"/>
    </row>
    <row r="89" spans="5:10" s="72" customFormat="1" x14ac:dyDescent="0.3">
      <c r="E89" s="293"/>
      <c r="F89" s="293"/>
      <c r="G89" s="293"/>
      <c r="H89" s="293"/>
      <c r="I89" s="293"/>
      <c r="J89" s="321"/>
    </row>
    <row r="90" spans="5:10" s="72" customFormat="1" x14ac:dyDescent="0.3"/>
    <row r="91" spans="5:10" s="72" customFormat="1" x14ac:dyDescent="0.3"/>
  </sheetData>
  <sheetProtection algorithmName="SHA-512" hashValue="0vcuOCQ0nlxwOfZRM07ozoGe+0xjnI8/ixEX203p7OMI2+SYEwW8XyzzSMYiiblkzVg19QcVeS0F36YdEw/tVA==" saltValue="S57LXGb8iqhSlWth9lwBrQ==" spinCount="100000" sheet="1" objects="1" scenarios="1"/>
  <mergeCells count="20">
    <mergeCell ref="C49:C51"/>
    <mergeCell ref="D74:D75"/>
    <mergeCell ref="W34:Y34"/>
    <mergeCell ref="E42:I42"/>
    <mergeCell ref="E43:F43"/>
    <mergeCell ref="G43:I43"/>
    <mergeCell ref="J43:K43"/>
    <mergeCell ref="W33:Y33"/>
    <mergeCell ref="A5:B5"/>
    <mergeCell ref="W8:Y9"/>
    <mergeCell ref="Z8:AE8"/>
    <mergeCell ref="G12:G15"/>
    <mergeCell ref="E13:F13"/>
    <mergeCell ref="G26:G30"/>
    <mergeCell ref="E28:F28"/>
    <mergeCell ref="AF8:AK8"/>
    <mergeCell ref="Z9:AB9"/>
    <mergeCell ref="AC9:AE9"/>
    <mergeCell ref="AF9:AH9"/>
    <mergeCell ref="AI9:AK9"/>
  </mergeCells>
  <conditionalFormatting sqref="Q12:U13 Q15:U25">
    <cfRule type="cellIs" dxfId="15" priority="14" operator="equal">
      <formula>519</formula>
    </cfRule>
  </conditionalFormatting>
  <conditionalFormatting sqref="K15:K25">
    <cfRule type="cellIs" dxfId="14" priority="15" operator="equal">
      <formula>#REF!</formula>
    </cfRule>
  </conditionalFormatting>
  <conditionalFormatting sqref="Q31:U31">
    <cfRule type="cellIs" dxfId="13" priority="13" operator="equal">
      <formula>519</formula>
    </cfRule>
  </conditionalFormatting>
  <conditionalFormatting sqref="L12:L13 L15:L25">
    <cfRule type="cellIs" dxfId="12" priority="12" operator="equal">
      <formula>#REF!</formula>
    </cfRule>
  </conditionalFormatting>
  <conditionalFormatting sqref="L26:L30">
    <cfRule type="cellIs" dxfId="11" priority="11" operator="equal">
      <formula>#REF!</formula>
    </cfRule>
  </conditionalFormatting>
  <conditionalFormatting sqref="M12:M13 M15:M25">
    <cfRule type="cellIs" dxfId="10" priority="10" operator="equal">
      <formula>#REF!</formula>
    </cfRule>
  </conditionalFormatting>
  <conditionalFormatting sqref="M26:M30">
    <cfRule type="cellIs" dxfId="9" priority="9" operator="equal">
      <formula>#REF!</formula>
    </cfRule>
  </conditionalFormatting>
  <conditionalFormatting sqref="K12:K13">
    <cfRule type="cellIs" dxfId="8" priority="8" operator="equal">
      <formula>#REF!</formula>
    </cfRule>
  </conditionalFormatting>
  <conditionalFormatting sqref="K26:K30">
    <cfRule type="cellIs" dxfId="7" priority="7" operator="equal">
      <formula>#REF!</formula>
    </cfRule>
  </conditionalFormatting>
  <conditionalFormatting sqref="Q26:U30">
    <cfRule type="cellIs" dxfId="6" priority="6" operator="equal">
      <formula>519</formula>
    </cfRule>
  </conditionalFormatting>
  <conditionalFormatting sqref="K14">
    <cfRule type="cellIs" dxfId="5" priority="1" operator="equal">
      <formula>$E$56</formula>
    </cfRule>
  </conditionalFormatting>
  <conditionalFormatting sqref="Q14:U14">
    <cfRule type="cellIs" dxfId="4" priority="5" operator="equal">
      <formula>519</formula>
    </cfRule>
  </conditionalFormatting>
  <conditionalFormatting sqref="L14">
    <cfRule type="cellIs" dxfId="3" priority="4" operator="equal">
      <formula>#REF!</formula>
    </cfRule>
  </conditionalFormatting>
  <conditionalFormatting sqref="M14">
    <cfRule type="cellIs" dxfId="2" priority="3" operator="equal">
      <formula>#REF!</formula>
    </cfRule>
  </conditionalFormatting>
  <conditionalFormatting sqref="K14">
    <cfRule type="cellIs" dxfId="1" priority="2" operator="equal">
      <formula>#REF!</formula>
    </cfRule>
  </conditionalFormatting>
  <dataValidations count="9">
    <dataValidation type="list" allowBlank="1" showInputMessage="1" showErrorMessage="1" sqref="F11" xr:uid="{8545CE84-7E7F-4589-8B0A-23BE9C55872A}">
      <formula1>"0%,20%"</formula1>
    </dataValidation>
    <dataValidation type="list" allowBlank="1" showInputMessage="1" showErrorMessage="1" sqref="F23 F37" xr:uid="{70AE6241-4BD3-4EDC-A6F2-EF26C2066584}">
      <formula1>"ano, ne"</formula1>
    </dataValidation>
    <dataValidation allowBlank="1" showInputMessage="1" showErrorMessage="1" promptTitle="M3R vs. kap.C" prompt="Pokud OM nemá sjednánu M3R, tak vymažte hodnotu M3R, jinak bude chybně spočtena cena za MJ této kapacity C." sqref="J14" xr:uid="{AD1F7440-9CAF-4E4B-84F1-80D5BC70A2B1}"/>
    <dataValidation allowBlank="1" showInputMessage="1" showErrorMessage="1" promptTitle="Vymažte RDK, MK a KK" prompt="Při kapacitě M3R může být pouze roční C, ostatní kapacity nikoliv, M3R je nahrazuje. Taktéž u M3R nedojde k překročení. Proto pokud jsou zadány ještě výše ostatních kapacit, tak je vymažte." sqref="J12" xr:uid="{5A608AA2-FC33-4752-B729-5AF868181E0F}"/>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30" xr:uid="{ACF49733-1CCB-4754-B977-127DF049144A}">
      <formula1>IF(I$81=1,$K$60-30,I$79)</formula1>
      <formula2>$I$80</formula2>
    </dataValidation>
    <dataValidation type="date" allowBlank="1" showInputMessage="1" showErrorMessage="1" errorTitle="Chybný datum" error="Datum začátku klouz.kapacity není v rozmezí pro daný měsíc výpočtu. Může být minimálně od 2.dne předcházejícího měsíce a maximálně do konce měsíce výpočtu." sqref="N26" xr:uid="{FF5020AE-C173-41D4-B2CB-9CA5FF8AF6DA}">
      <formula1>IF($E$81=1,$K$60-30,$E$79)</formula1>
      <formula2>$E$80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7" xr:uid="{AE4DFDE1-7851-49F0-B405-53270FC3E26D}">
      <formula1>IF(F$81=1,$K$60-30,F$79)</formula1>
      <formula2>$F$80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8" xr:uid="{7A0F5B2D-6E8E-42B5-A12D-E97222AB37C4}">
      <formula1>IF(G$81=1,$K$60-30,G$79)</formula1>
      <formula2>$G$80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9" xr:uid="{34874163-7F11-419B-8A0D-C98CB0B8C950}">
      <formula1>IF(H$81=1,$K$60-30,H$79)</formula1>
      <formula2>$H$80</formula2>
    </dataValidation>
  </dataValidations>
  <pageMargins left="0.7" right="0.7" top="0.78740157499999996" bottom="0.78740157499999996" header="0.3" footer="0.3"/>
  <pageSetup paperSize="9" orientation="portrait" verticalDpi="0" r:id="rId1"/>
  <customProperties>
    <customPr name="EpmWorksheetKeyString_GUID" r:id="rId2"/>
  </customPropertie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14D93-E91E-4075-8921-2E10FBCFF2D2}">
  <sheetPr codeName="List12"/>
  <dimension ref="A1:P62"/>
  <sheetViews>
    <sheetView zoomScale="70" zoomScaleNormal="70" workbookViewId="0">
      <selection activeCell="J26" sqref="J26"/>
    </sheetView>
  </sheetViews>
  <sheetFormatPr defaultColWidth="9.109375" defaultRowHeight="14.4" x14ac:dyDescent="0.3"/>
  <cols>
    <col min="1" max="1" width="9.109375" style="10"/>
    <col min="2" max="2" width="10.33203125" style="10" customWidth="1"/>
    <col min="3" max="3" width="16.109375" style="10" customWidth="1"/>
    <col min="4" max="4" width="16.33203125" style="10" customWidth="1"/>
    <col min="5" max="5" width="15.5546875" style="10" bestFit="1" customWidth="1"/>
    <col min="6" max="6" width="14.6640625" style="10" bestFit="1" customWidth="1"/>
    <col min="7" max="7" width="22.33203125" style="10" customWidth="1"/>
    <col min="8" max="8" width="14.109375" style="10" customWidth="1"/>
    <col min="9" max="9" width="16.44140625" style="10" customWidth="1"/>
    <col min="10" max="10" width="16" style="10" bestFit="1" customWidth="1"/>
    <col min="11" max="11" width="20.88671875" style="10" customWidth="1"/>
    <col min="12" max="12" width="17.33203125" style="10" bestFit="1" customWidth="1"/>
    <col min="13" max="13" width="18" style="10" bestFit="1" customWidth="1"/>
    <col min="14" max="14" width="54.5546875" style="10" customWidth="1"/>
    <col min="15" max="16384" width="9.109375" style="10"/>
  </cols>
  <sheetData>
    <row r="1" spans="1:16" ht="100.8" x14ac:dyDescent="0.3">
      <c r="B1" s="339" t="s">
        <v>337</v>
      </c>
      <c r="C1" s="65" t="s">
        <v>145</v>
      </c>
      <c r="D1" s="340" t="s">
        <v>145</v>
      </c>
      <c r="E1" s="341" t="s">
        <v>146</v>
      </c>
      <c r="G1" s="342" t="s">
        <v>338</v>
      </c>
      <c r="H1" s="342" t="s">
        <v>339</v>
      </c>
      <c r="I1" s="343"/>
      <c r="J1" s="344" t="s">
        <v>340</v>
      </c>
      <c r="K1" s="345" t="s">
        <v>341</v>
      </c>
    </row>
    <row r="2" spans="1:16" x14ac:dyDescent="0.3">
      <c r="B2" s="346" t="s">
        <v>342</v>
      </c>
      <c r="C2" s="709" t="s">
        <v>343</v>
      </c>
      <c r="D2" s="709"/>
      <c r="E2" s="709"/>
      <c r="F2" s="710" t="s">
        <v>344</v>
      </c>
      <c r="G2" s="710"/>
      <c r="H2" s="710" t="s">
        <v>345</v>
      </c>
      <c r="I2" s="710"/>
    </row>
    <row r="3" spans="1:16" x14ac:dyDescent="0.3">
      <c r="B3" s="347"/>
      <c r="C3" s="348" t="s">
        <v>346</v>
      </c>
      <c r="D3" s="349" t="s">
        <v>154</v>
      </c>
      <c r="E3" s="349" t="s">
        <v>292</v>
      </c>
      <c r="F3" s="349" t="s">
        <v>249</v>
      </c>
      <c r="G3" s="350" t="s">
        <v>251</v>
      </c>
      <c r="H3" s="349" t="s">
        <v>249</v>
      </c>
      <c r="I3" s="350" t="s">
        <v>251</v>
      </c>
    </row>
    <row r="4" spans="1:16" x14ac:dyDescent="0.3">
      <c r="B4" s="347"/>
      <c r="C4" s="348" t="s">
        <v>152</v>
      </c>
      <c r="D4" s="351">
        <f>'Klasik, CNG, M3R, výrobce'!F45</f>
        <v>1.635E-2</v>
      </c>
      <c r="E4" s="351">
        <f>'Klasik, CNG, M3R, výrobce'!K45</f>
        <v>4.326E-2</v>
      </c>
      <c r="F4" s="352">
        <f>'Klasik, CNG, M3R, výrobce'!G45</f>
        <v>314.9846</v>
      </c>
      <c r="G4" s="352">
        <f>'Klasik, CNG, M3R, výrobce'!I45</f>
        <v>-17.178899999999999</v>
      </c>
      <c r="H4" s="352">
        <f>'Klasik, CNG, M3R, výrobce'!L45</f>
        <v>355.9735</v>
      </c>
      <c r="I4" s="352">
        <f>'Klasik, CNG, M3R, výrobce'!N45</f>
        <v>-17.178899999999999</v>
      </c>
    </row>
    <row r="5" spans="1:16" x14ac:dyDescent="0.3">
      <c r="B5" s="347"/>
      <c r="C5" s="353" t="s">
        <v>256</v>
      </c>
      <c r="D5" s="351">
        <f>'Klasik, CNG, M3R, výrobce'!F46</f>
        <v>2.4469999999999999E-2</v>
      </c>
      <c r="E5" s="351">
        <f>'Klasik, CNG, M3R, výrobce'!K46</f>
        <v>8.8079999999999992E-2</v>
      </c>
      <c r="F5" s="352">
        <f>'Klasik, CNG, M3R, výrobce'!G46</f>
        <v>316.3956</v>
      </c>
      <c r="G5" s="352">
        <f>'Klasik, CNG, M3R, výrobce'!I46</f>
        <v>-6.5753000000000004</v>
      </c>
      <c r="H5" s="352">
        <f>'Klasik, CNG, M3R, výrobce'!L46</f>
        <v>366.9452</v>
      </c>
      <c r="I5" s="352">
        <f>'Klasik, CNG, M3R, výrobce'!N46</f>
        <v>-6.5753000000000004</v>
      </c>
    </row>
    <row r="6" spans="1:16" x14ac:dyDescent="0.3">
      <c r="B6" s="347"/>
      <c r="C6" s="354" t="s">
        <v>347</v>
      </c>
      <c r="D6" s="355">
        <f>'Klasik, CNG, M3R, výrobce'!F53</f>
        <v>2.0400000000000001E-3</v>
      </c>
      <c r="E6" s="347"/>
      <c r="F6" s="356"/>
      <c r="G6" s="347"/>
      <c r="H6" s="347"/>
      <c r="I6" s="343"/>
      <c r="J6" s="357" t="s">
        <v>215</v>
      </c>
      <c r="K6" s="358" t="e">
        <f>K8/F10-100%</f>
        <v>#DIV/0!</v>
      </c>
    </row>
    <row r="7" spans="1:16" s="347" customFormat="1" ht="28.8" x14ac:dyDescent="0.3">
      <c r="F7" s="356"/>
      <c r="I7" s="343"/>
      <c r="J7" s="359" t="s">
        <v>348</v>
      </c>
      <c r="K7" s="360">
        <f>F10*1.038</f>
        <v>0</v>
      </c>
      <c r="M7" s="10"/>
      <c r="N7" s="361"/>
    </row>
    <row r="8" spans="1:16" s="347" customFormat="1" ht="28.8" x14ac:dyDescent="0.3">
      <c r="C8" s="711" t="s">
        <v>349</v>
      </c>
      <c r="D8" s="712"/>
      <c r="E8" s="459">
        <f>'Výpočet ceny distribuce'!C55</f>
        <v>0</v>
      </c>
      <c r="F8" s="362"/>
      <c r="G8" s="362"/>
      <c r="H8" s="362"/>
      <c r="I8" s="343"/>
      <c r="J8" s="363" t="s">
        <v>350</v>
      </c>
      <c r="K8" s="460">
        <f>'Výpočet ceny distribuce'!B57</f>
        <v>0</v>
      </c>
      <c r="L8" s="364">
        <f>K8/24</f>
        <v>0</v>
      </c>
      <c r="M8" s="10"/>
      <c r="N8" s="361"/>
    </row>
    <row r="9" spans="1:16" s="347" customFormat="1" ht="28.8" x14ac:dyDescent="0.3">
      <c r="C9" s="365" t="s">
        <v>351</v>
      </c>
      <c r="D9" s="460" t="str">
        <f>VLOOKUP('ovládací prvky'!C28,'ovládací prvky'!A29:B30,2,FALSE)</f>
        <v>ano</v>
      </c>
      <c r="E9" s="366" t="s">
        <v>352</v>
      </c>
      <c r="F9" s="363" t="s">
        <v>353</v>
      </c>
      <c r="G9" s="363" t="s">
        <v>354</v>
      </c>
      <c r="H9" s="363" t="s">
        <v>355</v>
      </c>
      <c r="I9" s="343"/>
      <c r="J9" s="367" t="s">
        <v>356</v>
      </c>
      <c r="K9" s="368">
        <f>IF(K8&gt;K7,K8-F10,)</f>
        <v>0</v>
      </c>
      <c r="L9" s="369"/>
      <c r="M9" s="10"/>
      <c r="N9" s="361"/>
    </row>
    <row r="10" spans="1:16" s="347" customFormat="1" ht="28.8" x14ac:dyDescent="0.3">
      <c r="B10" s="370" t="s">
        <v>357</v>
      </c>
      <c r="C10" s="352"/>
      <c r="D10" s="371">
        <f>IF(F11=0,IF($H$10&lt;519,519,$H$10),IF(D9="ano",IF($H$10&lt;519,519,$H$10),IF($H$10&lt;519,519,IF($H$10&lt;$D$11,$H$10,IF($D$11&lt;519,519,$D$11)))))</f>
        <v>519</v>
      </c>
      <c r="E10" s="372">
        <f>IF(F10&lt;519,519,F10)</f>
        <v>519</v>
      </c>
      <c r="F10" s="459">
        <f>'Výpočet ceny distribuce'!C48</f>
        <v>0</v>
      </c>
      <c r="G10" s="459">
        <f>'Výpočet ceny distribuce'!C49</f>
        <v>0</v>
      </c>
      <c r="H10" s="368">
        <f>F10+G10</f>
        <v>0</v>
      </c>
      <c r="I10" s="343"/>
      <c r="J10" s="373" t="s">
        <v>358</v>
      </c>
      <c r="K10" s="374">
        <f>VLOOKUP(K11,'Klasik, CNG, M3R, výrobce'!E60:G71,3,FALSE)</f>
        <v>1.43</v>
      </c>
      <c r="L10" s="375"/>
      <c r="M10" s="10"/>
      <c r="N10" s="361"/>
    </row>
    <row r="11" spans="1:16" s="347" customFormat="1" ht="28.8" x14ac:dyDescent="0.3">
      <c r="B11" s="376" t="s">
        <v>359</v>
      </c>
      <c r="C11" s="377"/>
      <c r="D11" s="372">
        <f>F11*1.2</f>
        <v>0</v>
      </c>
      <c r="F11" s="460">
        <f>'Výpočet ceny distribuce'!C50</f>
        <v>0</v>
      </c>
      <c r="G11" s="377" t="s">
        <v>360</v>
      </c>
      <c r="H11" s="377"/>
      <c r="I11" s="343"/>
      <c r="J11" s="367" t="s">
        <v>361</v>
      </c>
      <c r="K11" s="461" t="str">
        <f>VLOOKUP('ovládací prvky'!F13,'ovládací prvky'!B14:C25,2,FALSE)</f>
        <v>Leden</v>
      </c>
      <c r="L11" s="343"/>
      <c r="M11" s="10"/>
      <c r="N11" s="361"/>
    </row>
    <row r="13" spans="1:16" s="347" customFormat="1" ht="53.25" customHeight="1" x14ac:dyDescent="0.3">
      <c r="B13" s="10" t="s">
        <v>362</v>
      </c>
      <c r="D13" s="10"/>
      <c r="E13" s="10"/>
      <c r="F13" s="10" t="s">
        <v>26</v>
      </c>
      <c r="G13" s="713" t="s">
        <v>363</v>
      </c>
      <c r="H13" s="713"/>
      <c r="I13" s="713"/>
      <c r="J13" s="378" t="str">
        <f>'Klasik, CNG, M3R, výrobce'!E55</f>
        <v>40000 Kč/tis.m3</v>
      </c>
      <c r="K13" s="10"/>
      <c r="M13" s="10"/>
      <c r="N13" s="361"/>
    </row>
    <row r="14" spans="1:16" s="347" customFormat="1" ht="60" customHeight="1" x14ac:dyDescent="0.3">
      <c r="A14" s="367" t="s">
        <v>425</v>
      </c>
      <c r="B14" s="171" t="s">
        <v>247</v>
      </c>
      <c r="C14" s="171" t="s">
        <v>364</v>
      </c>
      <c r="D14" s="171" t="s">
        <v>365</v>
      </c>
      <c r="E14" s="420" t="s">
        <v>366</v>
      </c>
      <c r="F14" s="171" t="s">
        <v>367</v>
      </c>
      <c r="G14" s="171" t="s">
        <v>368</v>
      </c>
      <c r="H14" s="171" t="s">
        <v>369</v>
      </c>
      <c r="I14" s="379" t="s">
        <v>370</v>
      </c>
      <c r="J14" s="380" t="s">
        <v>371</v>
      </c>
      <c r="K14" s="367" t="s">
        <v>372</v>
      </c>
      <c r="L14" s="377" t="s">
        <v>373</v>
      </c>
      <c r="M14" s="377" t="s">
        <v>237</v>
      </c>
      <c r="O14" s="347" t="s">
        <v>423</v>
      </c>
      <c r="P14" s="347" t="s">
        <v>424</v>
      </c>
    </row>
    <row r="15" spans="1:16" s="347" customFormat="1" x14ac:dyDescent="0.3">
      <c r="A15" s="347" t="str">
        <f>CONCATENATE(O15,P15)</f>
        <v>21</v>
      </c>
      <c r="B15" s="357" t="s">
        <v>152</v>
      </c>
      <c r="C15" s="381" t="s">
        <v>154</v>
      </c>
      <c r="D15" s="382">
        <f>ROUND($F4+$G4*LN($D$10),5)</f>
        <v>207.58376999999999</v>
      </c>
      <c r="E15" s="382">
        <f>ROUND($F4+$G4*LN($E$10),5)</f>
        <v>207.58376999999999</v>
      </c>
      <c r="F15" s="382">
        <f>D15/427.6</f>
        <v>0.48546251169317112</v>
      </c>
      <c r="G15" s="382">
        <f>40/427.6</f>
        <v>9.3545369504209538E-2</v>
      </c>
      <c r="H15" s="382">
        <f>IF(F15&gt;G15,ROUND(F15+$D4+0.02,5),ROUND(G15+$D4+0.02,5))</f>
        <v>0.52181</v>
      </c>
      <c r="I15" s="383">
        <f>ROUND($E$8*H15,2)</f>
        <v>0</v>
      </c>
      <c r="J15" s="383">
        <f>ROUND($E$8*$D$6,2)</f>
        <v>0</v>
      </c>
      <c r="K15" s="384">
        <f>IF($K$9&gt;0, ($K$9)*$E15*$K$10, 0)</f>
        <v>0</v>
      </c>
      <c r="L15" s="385">
        <f>I15+J15+K15</f>
        <v>0</v>
      </c>
      <c r="M15" s="386">
        <f>L15*1.21</f>
        <v>0</v>
      </c>
      <c r="N15" s="387" t="s">
        <v>374</v>
      </c>
      <c r="O15" s="397">
        <v>2</v>
      </c>
      <c r="P15" s="397">
        <v>1</v>
      </c>
    </row>
    <row r="16" spans="1:16" s="347" customFormat="1" x14ac:dyDescent="0.3">
      <c r="A16" s="347" t="str">
        <f>CONCATENATE(O16,P16)</f>
        <v>11</v>
      </c>
      <c r="B16" s="357" t="s">
        <v>152</v>
      </c>
      <c r="C16" s="381" t="s">
        <v>292</v>
      </c>
      <c r="D16" s="382">
        <f>ROUND($H4+$I4*LN($D$10),5)</f>
        <v>248.57266999999999</v>
      </c>
      <c r="E16" s="382">
        <f>ROUND($H4+$I4*LN($E$10),5)</f>
        <v>248.57266999999999</v>
      </c>
      <c r="F16" s="382">
        <f>D16/427.6</f>
        <v>0.58132055659494852</v>
      </c>
      <c r="G16" s="382">
        <f>40/427.6</f>
        <v>9.3545369504209538E-2</v>
      </c>
      <c r="H16" s="382">
        <f>IF(F16&gt;G16,ROUND(F16+$E4+0.02,5),ROUND(G16+$E4+0.02,5))</f>
        <v>0.64458000000000004</v>
      </c>
      <c r="I16" s="383">
        <f>ROUND($E$8*H16,2)</f>
        <v>0</v>
      </c>
      <c r="J16" s="383">
        <f>ROUND($E$8*$D$6,2)</f>
        <v>0</v>
      </c>
      <c r="K16" s="384">
        <f>IF($K$9&gt;0, ($K$9)*$E16*$K$10, 0)</f>
        <v>0</v>
      </c>
      <c r="L16" s="385">
        <f>I16+J16+K16</f>
        <v>0</v>
      </c>
      <c r="M16" s="386">
        <f>L16*1.21</f>
        <v>0</v>
      </c>
      <c r="N16" s="387" t="s">
        <v>375</v>
      </c>
      <c r="O16" s="397">
        <v>1</v>
      </c>
      <c r="P16" s="397">
        <v>1</v>
      </c>
    </row>
    <row r="17" spans="1:16" s="347" customFormat="1" x14ac:dyDescent="0.3">
      <c r="A17" s="347" t="str">
        <f>CONCATENATE(O17,P17)</f>
        <v>22</v>
      </c>
      <c r="B17" s="377" t="s">
        <v>256</v>
      </c>
      <c r="C17" s="381" t="s">
        <v>154</v>
      </c>
      <c r="D17" s="382">
        <f>ROUND($F5+$G5*LN($D$10),5)</f>
        <v>275.28746000000001</v>
      </c>
      <c r="E17" s="382">
        <f>ROUND($F5+$G5*LN($E$10),5)</f>
        <v>275.28746000000001</v>
      </c>
      <c r="F17" s="382">
        <f>D17/427.6</f>
        <v>0.64379667913938254</v>
      </c>
      <c r="G17" s="382">
        <f>40/427.6</f>
        <v>9.3545369504209538E-2</v>
      </c>
      <c r="H17" s="382">
        <f>IF(F17&gt;G17,ROUND(F17+$D5+0.02,5),ROUND(G17+$D5+0.02,5))</f>
        <v>0.68827000000000005</v>
      </c>
      <c r="I17" s="383">
        <f>ROUND($E$8*H17,2)</f>
        <v>0</v>
      </c>
      <c r="J17" s="383">
        <f>ROUND($E$8*$D$6,2)</f>
        <v>0</v>
      </c>
      <c r="K17" s="384">
        <f t="shared" ref="K17" si="0">IF($K$9&gt;0, ($K$9)*$E17*$K$10, 0)</f>
        <v>0</v>
      </c>
      <c r="L17" s="385">
        <f>I17+J17+K17</f>
        <v>0</v>
      </c>
      <c r="M17" s="386">
        <f>L17*1.21</f>
        <v>0</v>
      </c>
      <c r="O17" s="397">
        <v>2</v>
      </c>
      <c r="P17" s="397">
        <v>2</v>
      </c>
    </row>
    <row r="18" spans="1:16" s="347" customFormat="1" x14ac:dyDescent="0.3">
      <c r="A18" s="347" t="str">
        <f>CONCATENATE(O18,P18)</f>
        <v>12</v>
      </c>
      <c r="B18" s="377" t="s">
        <v>256</v>
      </c>
      <c r="C18" s="381" t="s">
        <v>292</v>
      </c>
      <c r="D18" s="382">
        <f>ROUND($H5+$I5*LN($D$10),5)</f>
        <v>325.83706000000001</v>
      </c>
      <c r="E18" s="382">
        <f>ROUND($H5+$I5*LN($E$10),5)</f>
        <v>325.83706000000001</v>
      </c>
      <c r="F18" s="382">
        <f>D18/427.6</f>
        <v>0.7620137043966323</v>
      </c>
      <c r="G18" s="382">
        <f>40/427.6</f>
        <v>9.3545369504209538E-2</v>
      </c>
      <c r="H18" s="382">
        <f>IF(F18&gt;G18,ROUND(F18+$E5+0.02,5),ROUND(G18+$E5+0.02,5))</f>
        <v>0.87009000000000003</v>
      </c>
      <c r="I18" s="383">
        <f>ROUND($E$8*H18,2)</f>
        <v>0</v>
      </c>
      <c r="J18" s="383">
        <f>ROUND($E$8*$D$6,2)</f>
        <v>0</v>
      </c>
      <c r="K18" s="384">
        <f>IF($K$9&gt;0, ($K$9)*$E18*$K$10, 0)</f>
        <v>0</v>
      </c>
      <c r="L18" s="385">
        <f>I18+J18+K18</f>
        <v>0</v>
      </c>
      <c r="M18" s="386">
        <f>L18*1.21</f>
        <v>0</v>
      </c>
      <c r="O18" s="397">
        <v>1</v>
      </c>
      <c r="P18" s="397">
        <v>2</v>
      </c>
    </row>
    <row r="19" spans="1:16" s="347" customFormat="1" ht="40.950000000000003" customHeight="1" x14ac:dyDescent="0.3">
      <c r="A19" s="398" t="str">
        <f>CONCATENATE(O19,P19)</f>
        <v>21</v>
      </c>
      <c r="C19" s="406" t="s">
        <v>422</v>
      </c>
      <c r="D19" s="400">
        <f>VLOOKUP($A$19,$A$15:$M$18,4,FALSE)</f>
        <v>207.58376999999999</v>
      </c>
      <c r="E19" s="402">
        <f>VLOOKUP($A$19,$A$15:$M$18,5,FALSE)</f>
        <v>207.58376999999999</v>
      </c>
      <c r="F19" s="402">
        <f>VLOOKUP($A$19,$A$15:$M$18,6,FALSE)</f>
        <v>0.48546251169317112</v>
      </c>
      <c r="G19" s="402">
        <f>VLOOKUP($A$19,$A$15:$M$18,7,FALSE)</f>
        <v>9.3545369504209538E-2</v>
      </c>
      <c r="H19" s="402">
        <f>VLOOKUP($A$19,$A$15:$M$18,8,FALSE)</f>
        <v>0.52181</v>
      </c>
      <c r="I19" s="400">
        <f>VLOOKUP($A$19,$A$15:$M$18,9,FALSE)</f>
        <v>0</v>
      </c>
      <c r="J19" s="400">
        <f>VLOOKUP($A$19,$A$15:$M$18,10,FALSE)</f>
        <v>0</v>
      </c>
      <c r="K19" s="400">
        <f>VLOOKUP($A$19,$A$15:$M$18,11,FALSE)</f>
        <v>0</v>
      </c>
      <c r="L19" s="399">
        <f>VLOOKUP(A19,A15:M18,12,FALSE)</f>
        <v>0</v>
      </c>
      <c r="M19" s="399">
        <f>VLOOKUP(A19,A15:M18,13,FALSE)</f>
        <v>0</v>
      </c>
      <c r="O19" s="397">
        <f>'ovládací prvky'!H2</f>
        <v>2</v>
      </c>
      <c r="P19" s="397">
        <f>'ovládací prvky'!J2</f>
        <v>1</v>
      </c>
    </row>
    <row r="20" spans="1:16" s="343" customFormat="1" x14ac:dyDescent="0.3">
      <c r="B20" s="347"/>
      <c r="C20" s="10"/>
      <c r="D20" s="388"/>
      <c r="E20" s="388"/>
      <c r="F20" s="388"/>
      <c r="G20" s="388"/>
      <c r="H20" s="388"/>
      <c r="I20" s="388"/>
      <c r="J20" s="388"/>
      <c r="K20" s="388"/>
      <c r="L20" s="388"/>
      <c r="M20" s="388"/>
      <c r="N20" s="347"/>
    </row>
    <row r="21" spans="1:16" s="343" customFormat="1" x14ac:dyDescent="0.3">
      <c r="C21" s="10" t="s">
        <v>376</v>
      </c>
      <c r="D21" s="10"/>
      <c r="E21" s="10"/>
      <c r="F21" s="10"/>
      <c r="G21" s="10"/>
      <c r="H21" s="10"/>
      <c r="K21" s="706" t="s">
        <v>377</v>
      </c>
      <c r="M21" s="347"/>
      <c r="N21" s="347"/>
    </row>
    <row r="22" spans="1:16" s="343" customFormat="1" x14ac:dyDescent="0.3">
      <c r="C22" s="10" t="s">
        <v>378</v>
      </c>
      <c r="D22" s="10"/>
      <c r="E22" s="10"/>
      <c r="F22" s="10"/>
      <c r="G22" s="10"/>
      <c r="H22" s="10"/>
      <c r="K22" s="706"/>
      <c r="M22" s="347"/>
      <c r="N22" s="347"/>
    </row>
    <row r="23" spans="1:16" s="343" customFormat="1" x14ac:dyDescent="0.3">
      <c r="C23" s="10"/>
      <c r="D23" s="10"/>
      <c r="E23" s="10"/>
      <c r="F23" s="10"/>
      <c r="G23" s="10"/>
      <c r="H23" s="10"/>
      <c r="K23" s="706"/>
      <c r="L23" s="347"/>
      <c r="M23" s="347"/>
      <c r="N23" s="347"/>
    </row>
    <row r="24" spans="1:16" s="343" customFormat="1" x14ac:dyDescent="0.3">
      <c r="C24" s="389" t="s">
        <v>379</v>
      </c>
      <c r="D24" s="10"/>
      <c r="E24" s="10"/>
      <c r="F24" s="10"/>
      <c r="G24" s="10"/>
      <c r="H24" s="10"/>
      <c r="K24" s="706"/>
      <c r="M24" s="347"/>
      <c r="N24" s="347"/>
    </row>
    <row r="25" spans="1:16" s="343" customFormat="1" x14ac:dyDescent="0.3">
      <c r="C25" s="10" t="s">
        <v>380</v>
      </c>
      <c r="D25" s="10"/>
      <c r="E25" s="10"/>
      <c r="F25" s="10"/>
      <c r="G25" s="10"/>
      <c r="H25" s="10"/>
      <c r="K25" s="706"/>
      <c r="L25" s="347"/>
      <c r="M25" s="347"/>
      <c r="N25" s="347"/>
    </row>
    <row r="26" spans="1:16" s="343" customFormat="1" ht="56.4" customHeight="1" x14ac:dyDescent="0.3">
      <c r="C26" s="707" t="s">
        <v>381</v>
      </c>
      <c r="D26" s="707"/>
      <c r="E26" s="707"/>
      <c r="F26" s="707"/>
      <c r="G26" s="707"/>
      <c r="H26" s="10"/>
      <c r="K26" s="706"/>
      <c r="L26" s="347"/>
      <c r="M26" s="347"/>
      <c r="N26" s="347"/>
    </row>
    <row r="27" spans="1:16" s="343" customFormat="1" x14ac:dyDescent="0.3">
      <c r="C27" s="10" t="s">
        <v>382</v>
      </c>
      <c r="D27" s="10"/>
      <c r="E27" s="10"/>
      <c r="F27" s="10"/>
      <c r="G27" s="10"/>
      <c r="H27" s="10"/>
      <c r="K27" s="706"/>
      <c r="M27" s="347"/>
      <c r="N27" s="347"/>
    </row>
    <row r="28" spans="1:16" s="343" customFormat="1" x14ac:dyDescent="0.3">
      <c r="C28" s="10" t="s">
        <v>383</v>
      </c>
      <c r="D28" s="10"/>
      <c r="E28" s="10"/>
      <c r="F28" s="10"/>
      <c r="G28" s="10"/>
      <c r="H28" s="10"/>
      <c r="K28" s="706"/>
      <c r="L28" s="347"/>
      <c r="M28" s="347"/>
      <c r="N28" s="347"/>
    </row>
    <row r="29" spans="1:16" s="343" customFormat="1" x14ac:dyDescent="0.3">
      <c r="C29" s="10"/>
      <c r="D29" s="10"/>
      <c r="E29" s="10"/>
      <c r="F29" s="10"/>
      <c r="G29" s="10"/>
      <c r="H29" s="10"/>
      <c r="K29" s="706"/>
      <c r="M29" s="347"/>
      <c r="N29" s="347"/>
    </row>
    <row r="30" spans="1:16" s="343" customFormat="1" x14ac:dyDescent="0.3">
      <c r="C30" s="390" t="s">
        <v>384</v>
      </c>
      <c r="D30" s="390"/>
      <c r="E30" s="391"/>
      <c r="F30" s="391"/>
      <c r="G30" s="391"/>
      <c r="H30" s="391"/>
      <c r="K30" s="706"/>
      <c r="L30" s="347"/>
      <c r="M30" s="347"/>
      <c r="N30" s="347"/>
    </row>
    <row r="31" spans="1:16" s="343" customFormat="1" x14ac:dyDescent="0.3">
      <c r="C31" s="708" t="s">
        <v>385</v>
      </c>
      <c r="D31" s="708"/>
      <c r="E31" s="708"/>
      <c r="F31" s="708"/>
      <c r="G31" s="708"/>
      <c r="H31" s="708"/>
      <c r="I31" s="708"/>
      <c r="K31" s="706"/>
      <c r="L31" s="347"/>
      <c r="M31" s="347"/>
      <c r="N31" s="347"/>
    </row>
    <row r="32" spans="1:16" s="343" customFormat="1" x14ac:dyDescent="0.3">
      <c r="C32" s="708" t="s">
        <v>386</v>
      </c>
      <c r="D32" s="708"/>
      <c r="E32" s="391"/>
      <c r="F32" s="391"/>
      <c r="G32" s="391"/>
      <c r="H32" s="391"/>
      <c r="I32" s="392"/>
      <c r="K32" s="706"/>
      <c r="L32" s="347"/>
      <c r="M32" s="347"/>
      <c r="N32" s="347"/>
    </row>
    <row r="33" spans="2:14" s="343" customFormat="1" x14ac:dyDescent="0.3">
      <c r="C33" s="393"/>
      <c r="D33" s="394" t="s">
        <v>387</v>
      </c>
      <c r="E33" s="394"/>
      <c r="F33" s="394"/>
      <c r="G33" s="394"/>
      <c r="H33" s="394"/>
      <c r="I33" s="392"/>
      <c r="K33" s="706"/>
      <c r="L33" s="347"/>
      <c r="M33" s="347"/>
      <c r="N33" s="347"/>
    </row>
    <row r="34" spans="2:14" s="343" customFormat="1" x14ac:dyDescent="0.3">
      <c r="C34" s="393"/>
      <c r="D34" s="394" t="s">
        <v>388</v>
      </c>
      <c r="E34" s="394"/>
      <c r="F34" s="394"/>
      <c r="G34" s="394"/>
      <c r="H34" s="394"/>
      <c r="I34" s="395"/>
      <c r="K34" s="706"/>
      <c r="L34" s="347"/>
      <c r="M34" s="347"/>
      <c r="N34" s="347"/>
    </row>
    <row r="35" spans="2:14" s="343" customFormat="1" x14ac:dyDescent="0.3">
      <c r="C35" s="393"/>
      <c r="D35" s="394" t="s">
        <v>389</v>
      </c>
      <c r="E35" s="394"/>
      <c r="F35" s="394"/>
      <c r="G35" s="394"/>
      <c r="H35" s="394"/>
      <c r="I35" s="395"/>
      <c r="K35" s="706"/>
      <c r="L35" s="347"/>
      <c r="M35" s="347"/>
      <c r="N35" s="347"/>
    </row>
    <row r="36" spans="2:14" s="343" customFormat="1" x14ac:dyDescent="0.3">
      <c r="C36" s="393"/>
      <c r="D36" s="394" t="s">
        <v>446</v>
      </c>
      <c r="E36" s="394"/>
      <c r="F36" s="394"/>
      <c r="G36" s="394"/>
      <c r="H36" s="394"/>
      <c r="I36" s="395"/>
      <c r="K36" s="706"/>
      <c r="L36" s="347"/>
      <c r="M36" s="347"/>
      <c r="N36" s="347"/>
    </row>
    <row r="37" spans="2:14" s="343" customFormat="1" x14ac:dyDescent="0.3">
      <c r="C37" s="394" t="s">
        <v>390</v>
      </c>
      <c r="D37" s="394"/>
      <c r="E37" s="394"/>
      <c r="F37" s="394"/>
      <c r="G37" s="394"/>
      <c r="H37" s="394"/>
      <c r="I37" s="392"/>
      <c r="K37" s="706"/>
      <c r="L37" s="347"/>
      <c r="M37" s="347"/>
      <c r="N37" s="347"/>
    </row>
    <row r="38" spans="2:14" s="347" customFormat="1" x14ac:dyDescent="0.3">
      <c r="B38" s="343"/>
      <c r="C38" s="394" t="s">
        <v>391</v>
      </c>
      <c r="D38" s="394"/>
      <c r="E38" s="394"/>
      <c r="F38" s="394"/>
      <c r="G38" s="394"/>
      <c r="H38" s="394"/>
      <c r="I38" s="392"/>
      <c r="J38" s="343"/>
      <c r="K38" s="706"/>
    </row>
    <row r="39" spans="2:14" s="347" customFormat="1" x14ac:dyDescent="0.3">
      <c r="B39" s="343"/>
      <c r="C39" s="394" t="s">
        <v>392</v>
      </c>
      <c r="D39" s="394"/>
      <c r="E39" s="394"/>
      <c r="F39" s="394"/>
      <c r="G39" s="394"/>
      <c r="H39" s="394"/>
      <c r="I39" s="395"/>
      <c r="J39" s="343"/>
      <c r="K39" s="706"/>
    </row>
    <row r="40" spans="2:14" s="347" customFormat="1" ht="307.2" customHeight="1" x14ac:dyDescent="0.3">
      <c r="B40" s="343"/>
      <c r="C40" s="396" t="s">
        <v>393</v>
      </c>
      <c r="D40" s="394"/>
      <c r="E40" s="394"/>
      <c r="F40" s="394"/>
      <c r="G40" s="394"/>
      <c r="H40" s="394"/>
      <c r="I40" s="395"/>
      <c r="J40" s="343"/>
      <c r="K40" s="706"/>
    </row>
    <row r="41" spans="2:14" s="34" customFormat="1" x14ac:dyDescent="0.3">
      <c r="B41" s="34" t="s">
        <v>427</v>
      </c>
      <c r="C41" s="401" t="s">
        <v>408</v>
      </c>
      <c r="D41" s="34" t="s">
        <v>423</v>
      </c>
      <c r="E41" s="34" t="s">
        <v>426</v>
      </c>
    </row>
    <row r="42" spans="2:14" x14ac:dyDescent="0.3">
      <c r="C42" s="10">
        <v>1240313632</v>
      </c>
      <c r="D42" s="10">
        <v>21</v>
      </c>
      <c r="E42" s="344">
        <v>43344</v>
      </c>
    </row>
    <row r="43" spans="2:14" x14ac:dyDescent="0.3">
      <c r="C43" s="10">
        <v>1240314205</v>
      </c>
      <c r="D43" s="10">
        <v>21</v>
      </c>
      <c r="E43" s="344">
        <v>43344</v>
      </c>
    </row>
    <row r="44" spans="2:14" x14ac:dyDescent="0.3">
      <c r="C44" s="10">
        <v>2240000238</v>
      </c>
      <c r="D44" s="10">
        <v>21</v>
      </c>
      <c r="E44" s="344">
        <v>40909</v>
      </c>
    </row>
    <row r="45" spans="2:14" x14ac:dyDescent="0.3">
      <c r="C45" s="10">
        <v>2240000270</v>
      </c>
      <c r="D45" s="10">
        <v>21</v>
      </c>
      <c r="E45" s="344">
        <v>40909</v>
      </c>
    </row>
    <row r="46" spans="2:14" x14ac:dyDescent="0.3">
      <c r="C46" s="10">
        <v>2240001658</v>
      </c>
      <c r="D46" s="10">
        <v>22</v>
      </c>
      <c r="E46" s="344">
        <v>44197</v>
      </c>
    </row>
    <row r="47" spans="2:14" x14ac:dyDescent="0.3">
      <c r="C47" s="10">
        <v>2240002315</v>
      </c>
      <c r="D47" s="10">
        <v>21</v>
      </c>
      <c r="E47" s="344">
        <v>42370</v>
      </c>
    </row>
    <row r="48" spans="2:14" x14ac:dyDescent="0.3">
      <c r="C48" s="10">
        <v>2240674783</v>
      </c>
      <c r="D48" s="10">
        <v>21</v>
      </c>
      <c r="E48" s="344">
        <v>42370</v>
      </c>
    </row>
    <row r="49" spans="3:5" x14ac:dyDescent="0.3">
      <c r="C49" s="10">
        <v>2240700893</v>
      </c>
      <c r="D49" s="10">
        <v>22</v>
      </c>
      <c r="E49" s="344">
        <v>43497</v>
      </c>
    </row>
    <row r="50" spans="3:5" x14ac:dyDescent="0.3">
      <c r="C50" s="10">
        <v>3240000020</v>
      </c>
      <c r="D50" s="10">
        <v>21</v>
      </c>
      <c r="E50" s="344">
        <v>41275</v>
      </c>
    </row>
    <row r="51" spans="3:5" x14ac:dyDescent="0.3">
      <c r="C51" s="10">
        <v>3240000262</v>
      </c>
      <c r="D51" s="10">
        <v>22</v>
      </c>
      <c r="E51" s="344">
        <v>41640</v>
      </c>
    </row>
    <row r="52" spans="3:5" x14ac:dyDescent="0.3">
      <c r="C52" s="10">
        <v>3240001255</v>
      </c>
      <c r="D52" s="10">
        <v>21</v>
      </c>
      <c r="E52" s="344">
        <v>42370</v>
      </c>
    </row>
    <row r="53" spans="3:5" x14ac:dyDescent="0.3">
      <c r="C53" s="10">
        <v>3240001323</v>
      </c>
      <c r="D53" s="10">
        <v>22</v>
      </c>
      <c r="E53" s="344">
        <v>44197</v>
      </c>
    </row>
    <row r="54" spans="3:5" x14ac:dyDescent="0.3">
      <c r="C54" s="10">
        <v>3240001426</v>
      </c>
      <c r="D54" s="10">
        <v>21</v>
      </c>
      <c r="E54" s="344">
        <v>44197</v>
      </c>
    </row>
    <row r="55" spans="3:5" x14ac:dyDescent="0.3">
      <c r="C55" s="10">
        <v>4240246583</v>
      </c>
      <c r="D55" s="10">
        <v>21</v>
      </c>
      <c r="E55" s="344">
        <v>43831</v>
      </c>
    </row>
    <row r="56" spans="3:5" x14ac:dyDescent="0.3">
      <c r="C56" s="10">
        <v>4240246809</v>
      </c>
      <c r="D56" s="10">
        <v>21</v>
      </c>
      <c r="E56" s="344">
        <v>40179</v>
      </c>
    </row>
    <row r="57" spans="3:5" x14ac:dyDescent="0.3">
      <c r="C57" s="10">
        <v>4240246900</v>
      </c>
      <c r="D57" s="10">
        <v>21</v>
      </c>
      <c r="E57" s="344">
        <v>43101</v>
      </c>
    </row>
    <row r="58" spans="3:5" x14ac:dyDescent="0.3">
      <c r="C58" s="10">
        <v>4240274815</v>
      </c>
      <c r="D58" s="10">
        <v>22</v>
      </c>
      <c r="E58" s="344">
        <v>42926</v>
      </c>
    </row>
    <row r="59" spans="3:5" x14ac:dyDescent="0.3">
      <c r="C59" s="10">
        <v>5240581099</v>
      </c>
      <c r="D59" s="10">
        <v>22</v>
      </c>
      <c r="E59" s="344">
        <v>44197</v>
      </c>
    </row>
    <row r="60" spans="3:5" x14ac:dyDescent="0.3">
      <c r="C60" s="10">
        <v>5240581312</v>
      </c>
      <c r="D60" s="10">
        <v>22</v>
      </c>
      <c r="E60" s="344">
        <v>43344</v>
      </c>
    </row>
    <row r="61" spans="3:5" x14ac:dyDescent="0.3">
      <c r="C61" s="10">
        <v>6240232698</v>
      </c>
      <c r="D61" s="10">
        <v>22</v>
      </c>
      <c r="E61" s="344">
        <v>42370</v>
      </c>
    </row>
    <row r="62" spans="3:5" x14ac:dyDescent="0.3">
      <c r="C62" s="10">
        <v>6240233064</v>
      </c>
      <c r="D62" s="10">
        <v>22</v>
      </c>
      <c r="E62" s="344">
        <v>44197</v>
      </c>
    </row>
  </sheetData>
  <sheetProtection algorithmName="SHA-512" hashValue="QU5Fea5R2t8NYdVwdPFU+BgJfmZEQ9V4sTFak/K0P0MuoMgkAPhec+t8+isfz0cSsNW5mvtSJqZueNte+F+8+Q==" saltValue="MTh03DvcQ20rQ/Pq8Nlxew==" spinCount="100000" sheet="1" formatCells="0" formatColumns="0" formatRows="0"/>
  <mergeCells count="9">
    <mergeCell ref="K21:K40"/>
    <mergeCell ref="C26:G26"/>
    <mergeCell ref="C31:I31"/>
    <mergeCell ref="C32:D32"/>
    <mergeCell ref="C2:E2"/>
    <mergeCell ref="F2:G2"/>
    <mergeCell ref="H2:I2"/>
    <mergeCell ref="C8:D8"/>
    <mergeCell ref="G13:I13"/>
  </mergeCells>
  <pageMargins left="0.7" right="0.7" top="0.78740157499999996" bottom="0.78740157499999996" header="0.3" footer="0.3"/>
  <pageSetup paperSize="9" orientation="portrait" verticalDpi="0" r:id="rId1"/>
  <customProperties>
    <customPr name="EpmWorksheetKeyString_GUID" r:id="rId2"/>
  </customPropertie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D8743-7D20-4410-8612-9ADA8B8CC2A5}">
  <sheetPr codeName="List6"/>
  <dimension ref="A1:C80"/>
  <sheetViews>
    <sheetView zoomScale="85" zoomScaleNormal="85" workbookViewId="0">
      <pane ySplit="2" topLeftCell="A3" activePane="bottomLeft" state="frozen"/>
      <selection activeCell="D1" sqref="D1"/>
      <selection pane="bottomLeft" activeCell="D1" sqref="D1"/>
    </sheetView>
  </sheetViews>
  <sheetFormatPr defaultColWidth="8.88671875" defaultRowHeight="14.4" x14ac:dyDescent="0.3"/>
  <cols>
    <col min="1" max="1" width="169.44140625" style="10" customWidth="1"/>
    <col min="2" max="16384" width="8.88671875" style="10"/>
  </cols>
  <sheetData>
    <row r="1" spans="1:3" ht="16.8" x14ac:dyDescent="0.3">
      <c r="A1" s="326" t="s">
        <v>301</v>
      </c>
      <c r="C1" s="327" t="s">
        <v>302</v>
      </c>
    </row>
    <row r="2" spans="1:3" ht="16.8" x14ac:dyDescent="0.3">
      <c r="A2" s="328" t="s">
        <v>303</v>
      </c>
      <c r="C2" s="329" t="s">
        <v>304</v>
      </c>
    </row>
    <row r="3" spans="1:3" ht="16.8" x14ac:dyDescent="0.3">
      <c r="A3" s="328" t="s">
        <v>305</v>
      </c>
      <c r="C3" s="329" t="s">
        <v>306</v>
      </c>
    </row>
    <row r="4" spans="1:3" ht="16.8" x14ac:dyDescent="0.3">
      <c r="A4" s="328" t="s">
        <v>307</v>
      </c>
      <c r="C4" s="330" t="s">
        <v>308</v>
      </c>
    </row>
    <row r="5" spans="1:3" ht="16.8" x14ac:dyDescent="0.3">
      <c r="A5" s="328"/>
      <c r="C5" s="331" t="s">
        <v>309</v>
      </c>
    </row>
    <row r="6" spans="1:3" ht="16.8" x14ac:dyDescent="0.3">
      <c r="A6" s="326" t="s">
        <v>310</v>
      </c>
      <c r="C6" s="331" t="s">
        <v>311</v>
      </c>
    </row>
    <row r="7" spans="1:3" ht="16.8" x14ac:dyDescent="0.3">
      <c r="A7" s="332" t="s">
        <v>312</v>
      </c>
      <c r="C7" s="331" t="s">
        <v>313</v>
      </c>
    </row>
    <row r="8" spans="1:3" ht="16.8" x14ac:dyDescent="0.3">
      <c r="A8" s="333" t="s">
        <v>314</v>
      </c>
      <c r="C8" s="331" t="s">
        <v>315</v>
      </c>
    </row>
    <row r="9" spans="1:3" ht="16.8" x14ac:dyDescent="0.3">
      <c r="A9" s="333" t="s">
        <v>316</v>
      </c>
      <c r="C9" s="331" t="s">
        <v>317</v>
      </c>
    </row>
    <row r="10" spans="1:3" ht="33.6" x14ac:dyDescent="0.3">
      <c r="A10" s="334" t="s">
        <v>318</v>
      </c>
      <c r="C10" s="335" t="s">
        <v>319</v>
      </c>
    </row>
    <row r="11" spans="1:3" ht="33.6" x14ac:dyDescent="0.3">
      <c r="A11" s="336" t="s">
        <v>320</v>
      </c>
      <c r="C11" s="337" t="s">
        <v>321</v>
      </c>
    </row>
    <row r="12" spans="1:3" x14ac:dyDescent="0.3">
      <c r="C12" s="331" t="s">
        <v>322</v>
      </c>
    </row>
    <row r="13" spans="1:3" x14ac:dyDescent="0.3">
      <c r="C13" s="331" t="s">
        <v>323</v>
      </c>
    </row>
    <row r="14" spans="1:3" x14ac:dyDescent="0.3">
      <c r="C14" s="331" t="s">
        <v>324</v>
      </c>
    </row>
    <row r="15" spans="1:3" x14ac:dyDescent="0.3">
      <c r="C15" s="337" t="s">
        <v>325</v>
      </c>
    </row>
    <row r="16" spans="1:3" x14ac:dyDescent="0.3">
      <c r="C16" s="338" t="s">
        <v>326</v>
      </c>
    </row>
    <row r="17" spans="1:3" x14ac:dyDescent="0.3">
      <c r="C17" s="338" t="s">
        <v>327</v>
      </c>
    </row>
    <row r="27" spans="1:3" ht="16.8" x14ac:dyDescent="0.3">
      <c r="A27" s="328"/>
    </row>
    <row r="28" spans="1:3" ht="16.8" x14ac:dyDescent="0.3">
      <c r="A28" s="328"/>
    </row>
    <row r="29" spans="1:3" ht="16.8" x14ac:dyDescent="0.3">
      <c r="A29" s="328"/>
    </row>
    <row r="30" spans="1:3" ht="16.8" x14ac:dyDescent="0.3">
      <c r="A30" s="328"/>
    </row>
    <row r="31" spans="1:3" ht="16.8" x14ac:dyDescent="0.3">
      <c r="A31" s="328"/>
    </row>
    <row r="32" spans="1:3" ht="16.8" x14ac:dyDescent="0.3">
      <c r="A32" s="328"/>
    </row>
    <row r="33" spans="1:1" ht="16.8" x14ac:dyDescent="0.3">
      <c r="A33" s="328"/>
    </row>
    <row r="34" spans="1:1" ht="16.8" x14ac:dyDescent="0.3">
      <c r="A34" s="328"/>
    </row>
    <row r="35" spans="1:1" ht="16.8" x14ac:dyDescent="0.3">
      <c r="A35" s="328"/>
    </row>
    <row r="36" spans="1:1" ht="16.8" x14ac:dyDescent="0.3">
      <c r="A36" s="328"/>
    </row>
    <row r="37" spans="1:1" ht="16.8" x14ac:dyDescent="0.3">
      <c r="A37" s="328"/>
    </row>
    <row r="38" spans="1:1" ht="16.8" x14ac:dyDescent="0.3">
      <c r="A38" s="328"/>
    </row>
    <row r="39" spans="1:1" ht="16.8" x14ac:dyDescent="0.3">
      <c r="A39" s="328"/>
    </row>
    <row r="40" spans="1:1" ht="16.8" x14ac:dyDescent="0.3">
      <c r="A40" s="326" t="s">
        <v>328</v>
      </c>
    </row>
    <row r="41" spans="1:1" ht="16.8" x14ac:dyDescent="0.3">
      <c r="A41" s="328" t="s">
        <v>329</v>
      </c>
    </row>
    <row r="42" spans="1:1" ht="16.8" x14ac:dyDescent="0.3">
      <c r="A42" s="328" t="s">
        <v>330</v>
      </c>
    </row>
    <row r="44" spans="1:1" ht="16.8" x14ac:dyDescent="0.3">
      <c r="A44" s="328"/>
    </row>
    <row r="46" spans="1:1" ht="16.8" x14ac:dyDescent="0.3">
      <c r="A46" s="328"/>
    </row>
    <row r="48" spans="1:1" ht="16.8" x14ac:dyDescent="0.3">
      <c r="A48" s="328"/>
    </row>
    <row r="75" spans="2:2" ht="16.8" x14ac:dyDescent="0.3">
      <c r="B75" s="328" t="s">
        <v>331</v>
      </c>
    </row>
    <row r="76" spans="2:2" x14ac:dyDescent="0.3">
      <c r="B76" s="10" t="s">
        <v>332</v>
      </c>
    </row>
    <row r="77" spans="2:2" x14ac:dyDescent="0.3">
      <c r="B77" s="10" t="s">
        <v>333</v>
      </c>
    </row>
    <row r="78" spans="2:2" x14ac:dyDescent="0.3">
      <c r="B78" s="10" t="s">
        <v>334</v>
      </c>
    </row>
    <row r="79" spans="2:2" x14ac:dyDescent="0.3">
      <c r="B79" s="10" t="s">
        <v>335</v>
      </c>
    </row>
    <row r="80" spans="2:2" x14ac:dyDescent="0.3">
      <c r="B80" s="10" t="s">
        <v>336</v>
      </c>
    </row>
  </sheetData>
  <sheetProtection algorithmName="SHA-512" hashValue="epWsHo0QG+sZmgHlVfYYJjxdN1omqjSSIbH2nOLB30X1QVbCV9LvA7YoZOZwbJ/LvqDfzn+R9saz0rYphFh3Rw==" saltValue="w5QYy8GxAwk/riZt2POcMg==" spinCount="100000" sheet="1" objects="1" scenarios="1"/>
  <pageMargins left="0.7" right="0.7" top="0.78740157499999996" bottom="0.78740157499999996" header="0.3" footer="0.3"/>
  <pageSetup paperSize="9" orientation="portrait" verticalDpi="0"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21"/>
  <dimension ref="A1:T155"/>
  <sheetViews>
    <sheetView topLeftCell="A4" zoomScale="90" zoomScaleNormal="90" workbookViewId="0">
      <selection activeCell="F10" sqref="F10:K10"/>
    </sheetView>
  </sheetViews>
  <sheetFormatPr defaultColWidth="9.109375" defaultRowHeight="14.4" x14ac:dyDescent="0.3"/>
  <cols>
    <col min="1" max="1" width="11" style="1" customWidth="1"/>
    <col min="2" max="3" width="9.109375" style="1"/>
    <col min="4" max="4" width="18.33203125" style="1" customWidth="1"/>
    <col min="5" max="9" width="9.109375" style="1"/>
    <col min="10" max="10" width="13.109375" style="1" customWidth="1"/>
    <col min="11" max="12" width="9.109375" style="1"/>
    <col min="13" max="13" width="8.88671875" style="1" bestFit="1" customWidth="1"/>
    <col min="14" max="14" width="9.109375" style="1"/>
    <col min="15" max="15" width="11.33203125" style="1" bestFit="1" customWidth="1"/>
    <col min="16" max="19" width="9.109375" style="1"/>
    <col min="20" max="20" width="20.44140625" style="1" customWidth="1"/>
    <col min="21" max="16384" width="9.109375" style="1"/>
  </cols>
  <sheetData>
    <row r="1" spans="1:11" ht="15" thickBot="1" x14ac:dyDescent="0.35">
      <c r="A1" s="1" t="s">
        <v>90</v>
      </c>
      <c r="E1" s="2">
        <v>21</v>
      </c>
      <c r="F1" s="1" t="s">
        <v>91</v>
      </c>
    </row>
    <row r="3" spans="1:11" x14ac:dyDescent="0.3">
      <c r="A3" s="3" t="s">
        <v>0</v>
      </c>
    </row>
    <row r="4" spans="1:11" ht="15" thickBot="1" x14ac:dyDescent="0.35"/>
    <row r="5" spans="1:11" ht="15" thickBot="1" x14ac:dyDescent="0.35">
      <c r="A5" s="1" t="s">
        <v>1</v>
      </c>
      <c r="E5" s="4">
        <v>2.04</v>
      </c>
      <c r="F5" s="1" t="s">
        <v>2</v>
      </c>
    </row>
    <row r="7" spans="1:11" x14ac:dyDescent="0.3">
      <c r="A7" s="3" t="s">
        <v>3</v>
      </c>
    </row>
    <row r="9" spans="1:11" ht="15" thickBot="1" x14ac:dyDescent="0.35">
      <c r="A9" s="5" t="s">
        <v>4</v>
      </c>
    </row>
    <row r="10" spans="1:11" ht="15" customHeight="1" x14ac:dyDescent="0.3">
      <c r="C10" s="717" t="s">
        <v>5</v>
      </c>
      <c r="D10" s="718"/>
      <c r="E10" s="718"/>
      <c r="F10" s="729" t="s">
        <v>7</v>
      </c>
      <c r="G10" s="729"/>
      <c r="H10" s="729"/>
      <c r="I10" s="729"/>
      <c r="J10" s="729"/>
      <c r="K10" s="730"/>
    </row>
    <row r="11" spans="1:11" ht="63.75" customHeight="1" x14ac:dyDescent="0.3">
      <c r="C11" s="719" t="s">
        <v>6</v>
      </c>
      <c r="D11" s="720"/>
      <c r="E11" s="720"/>
      <c r="F11" s="720" t="s">
        <v>21</v>
      </c>
      <c r="G11" s="720"/>
      <c r="H11" s="720" t="s">
        <v>22</v>
      </c>
      <c r="I11" s="720"/>
      <c r="J11" s="720" t="s">
        <v>23</v>
      </c>
      <c r="K11" s="722"/>
    </row>
    <row r="12" spans="1:11" ht="15" customHeight="1" thickBot="1" x14ac:dyDescent="0.35">
      <c r="C12" s="760"/>
      <c r="D12" s="756"/>
      <c r="E12" s="756"/>
      <c r="F12" s="756"/>
      <c r="G12" s="756"/>
      <c r="H12" s="756"/>
      <c r="I12" s="756"/>
      <c r="J12" s="756"/>
      <c r="K12" s="757"/>
    </row>
    <row r="13" spans="1:11" ht="15" thickBot="1" x14ac:dyDescent="0.35">
      <c r="C13" s="762" t="s">
        <v>8</v>
      </c>
      <c r="D13" s="763"/>
      <c r="E13" s="763"/>
      <c r="F13" s="764">
        <v>105.79</v>
      </c>
      <c r="G13" s="764"/>
      <c r="H13" s="765">
        <v>119641.78</v>
      </c>
      <c r="I13" s="765"/>
      <c r="J13" s="748">
        <v>0</v>
      </c>
      <c r="K13" s="749"/>
    </row>
    <row r="14" spans="1:11" ht="15" thickBot="1" x14ac:dyDescent="0.35">
      <c r="C14" s="758" t="s">
        <v>9</v>
      </c>
      <c r="D14" s="759"/>
      <c r="E14" s="759"/>
      <c r="F14" s="754">
        <v>143.69</v>
      </c>
      <c r="G14" s="754"/>
      <c r="H14" s="747">
        <v>0</v>
      </c>
      <c r="I14" s="747"/>
      <c r="J14" s="767">
        <v>321.22000000000003</v>
      </c>
      <c r="K14" s="768"/>
    </row>
    <row r="15" spans="1:11" ht="15" thickBot="1" x14ac:dyDescent="0.35">
      <c r="C15" s="772" t="s">
        <v>10</v>
      </c>
      <c r="D15" s="773"/>
      <c r="E15" s="773"/>
      <c r="F15" s="754">
        <v>143.69</v>
      </c>
      <c r="G15" s="754"/>
      <c r="H15" s="755">
        <v>0</v>
      </c>
      <c r="I15" s="755"/>
      <c r="J15" s="767">
        <v>321.22000000000003</v>
      </c>
      <c r="K15" s="768"/>
    </row>
    <row r="16" spans="1:11" ht="15" thickBot="1" x14ac:dyDescent="0.35">
      <c r="C16" s="774" t="s">
        <v>11</v>
      </c>
      <c r="D16" s="775"/>
      <c r="E16" s="775"/>
      <c r="F16" s="754">
        <v>143.69</v>
      </c>
      <c r="G16" s="754"/>
      <c r="H16" s="766">
        <v>0</v>
      </c>
      <c r="I16" s="766"/>
      <c r="J16" s="767">
        <v>321.22000000000003</v>
      </c>
      <c r="K16" s="768"/>
    </row>
    <row r="17" spans="3:11" x14ac:dyDescent="0.3">
      <c r="C17" s="776" t="s">
        <v>12</v>
      </c>
      <c r="D17" s="777"/>
      <c r="E17" s="777"/>
      <c r="F17" s="746">
        <v>177.64</v>
      </c>
      <c r="G17" s="746"/>
      <c r="H17" s="761">
        <v>0</v>
      </c>
      <c r="I17" s="761"/>
      <c r="J17" s="742">
        <v>200.51</v>
      </c>
      <c r="K17" s="743"/>
    </row>
    <row r="18" spans="3:11" x14ac:dyDescent="0.3">
      <c r="C18" s="758" t="s">
        <v>13</v>
      </c>
      <c r="D18" s="759"/>
      <c r="E18" s="759"/>
      <c r="F18" s="746">
        <v>177.64</v>
      </c>
      <c r="G18" s="746"/>
      <c r="H18" s="747">
        <v>0</v>
      </c>
      <c r="I18" s="747"/>
      <c r="J18" s="742">
        <v>200.51</v>
      </c>
      <c r="K18" s="743"/>
    </row>
    <row r="19" spans="3:11" x14ac:dyDescent="0.3">
      <c r="C19" s="758" t="s">
        <v>14</v>
      </c>
      <c r="D19" s="759"/>
      <c r="E19" s="759"/>
      <c r="F19" s="746">
        <v>177.64</v>
      </c>
      <c r="G19" s="746"/>
      <c r="H19" s="747">
        <v>0</v>
      </c>
      <c r="I19" s="747"/>
      <c r="J19" s="742">
        <v>200.51</v>
      </c>
      <c r="K19" s="743"/>
    </row>
    <row r="20" spans="3:11" x14ac:dyDescent="0.3">
      <c r="C20" s="758" t="s">
        <v>15</v>
      </c>
      <c r="D20" s="759"/>
      <c r="E20" s="759"/>
      <c r="F20" s="746">
        <v>177.64</v>
      </c>
      <c r="G20" s="746"/>
      <c r="H20" s="747">
        <v>0</v>
      </c>
      <c r="I20" s="747"/>
      <c r="J20" s="742">
        <v>200.51</v>
      </c>
      <c r="K20" s="743"/>
    </row>
    <row r="21" spans="3:11" x14ac:dyDescent="0.3">
      <c r="C21" s="758" t="s">
        <v>16</v>
      </c>
      <c r="D21" s="759"/>
      <c r="E21" s="759"/>
      <c r="F21" s="746">
        <v>210.58</v>
      </c>
      <c r="G21" s="746"/>
      <c r="H21" s="747">
        <v>0</v>
      </c>
      <c r="I21" s="747"/>
      <c r="J21" s="742">
        <v>135.54</v>
      </c>
      <c r="K21" s="743"/>
    </row>
    <row r="22" spans="3:11" x14ac:dyDescent="0.3">
      <c r="C22" s="758" t="s">
        <v>17</v>
      </c>
      <c r="D22" s="759"/>
      <c r="E22" s="759"/>
      <c r="F22" s="746">
        <v>210.58</v>
      </c>
      <c r="G22" s="746"/>
      <c r="H22" s="747">
        <v>0</v>
      </c>
      <c r="I22" s="747"/>
      <c r="J22" s="742">
        <v>135.54</v>
      </c>
      <c r="K22" s="743"/>
    </row>
    <row r="23" spans="3:11" x14ac:dyDescent="0.3">
      <c r="C23" s="758" t="s">
        <v>20</v>
      </c>
      <c r="D23" s="759"/>
      <c r="E23" s="759"/>
      <c r="F23" s="746">
        <v>229.34</v>
      </c>
      <c r="G23" s="746"/>
      <c r="H23" s="747">
        <v>0</v>
      </c>
      <c r="I23" s="747"/>
      <c r="J23" s="742">
        <v>114.29</v>
      </c>
      <c r="K23" s="743"/>
    </row>
    <row r="24" spans="3:11" x14ac:dyDescent="0.3">
      <c r="C24" s="758" t="s">
        <v>19</v>
      </c>
      <c r="D24" s="759"/>
      <c r="E24" s="759"/>
      <c r="F24" s="746">
        <v>251.94</v>
      </c>
      <c r="G24" s="746"/>
      <c r="H24" s="747">
        <v>0</v>
      </c>
      <c r="I24" s="747"/>
      <c r="J24" s="742">
        <v>101.17</v>
      </c>
      <c r="K24" s="743"/>
    </row>
    <row r="25" spans="3:11" ht="15" thickBot="1" x14ac:dyDescent="0.35">
      <c r="C25" s="714" t="s">
        <v>18</v>
      </c>
      <c r="D25" s="715"/>
      <c r="E25" s="715"/>
      <c r="F25" s="752">
        <v>463.81</v>
      </c>
      <c r="G25" s="752"/>
      <c r="H25" s="753">
        <v>0</v>
      </c>
      <c r="I25" s="753"/>
      <c r="J25" s="740">
        <v>68.069999999999993</v>
      </c>
      <c r="K25" s="741"/>
    </row>
    <row r="26" spans="3:11" ht="15" thickBot="1" x14ac:dyDescent="0.35"/>
    <row r="27" spans="3:11" ht="15" customHeight="1" x14ac:dyDescent="0.3">
      <c r="C27" s="717" t="s">
        <v>133</v>
      </c>
      <c r="D27" s="718"/>
      <c r="E27" s="718"/>
      <c r="F27" s="729" t="s">
        <v>7</v>
      </c>
      <c r="G27" s="729"/>
      <c r="H27" s="729"/>
      <c r="I27" s="729"/>
      <c r="J27" s="729"/>
      <c r="K27" s="730"/>
    </row>
    <row r="28" spans="3:11" ht="63.75" customHeight="1" x14ac:dyDescent="0.3">
      <c r="C28" s="719" t="s">
        <v>6</v>
      </c>
      <c r="D28" s="720"/>
      <c r="E28" s="720"/>
      <c r="F28" s="720" t="s">
        <v>21</v>
      </c>
      <c r="G28" s="720"/>
      <c r="H28" s="720" t="s">
        <v>22</v>
      </c>
      <c r="I28" s="720"/>
      <c r="J28" s="720" t="s">
        <v>23</v>
      </c>
      <c r="K28" s="722"/>
    </row>
    <row r="29" spans="3:11" ht="15" thickBot="1" x14ac:dyDescent="0.35">
      <c r="C29" s="727"/>
      <c r="D29" s="728"/>
      <c r="E29" s="728"/>
      <c r="F29" s="728"/>
      <c r="G29" s="728"/>
      <c r="H29" s="728"/>
      <c r="I29" s="728"/>
      <c r="J29" s="728"/>
      <c r="K29" s="771"/>
    </row>
    <row r="30" spans="3:11" ht="15" thickBot="1" x14ac:dyDescent="0.35">
      <c r="C30" s="762" t="s">
        <v>8</v>
      </c>
      <c r="D30" s="763"/>
      <c r="E30" s="763"/>
      <c r="F30" s="764">
        <v>105.79</v>
      </c>
      <c r="G30" s="764"/>
      <c r="H30" s="765">
        <v>119641.78</v>
      </c>
      <c r="I30" s="765"/>
      <c r="J30" s="748">
        <v>0</v>
      </c>
      <c r="K30" s="749"/>
    </row>
    <row r="31" spans="3:11" ht="15" thickBot="1" x14ac:dyDescent="0.35">
      <c r="C31" s="758" t="s">
        <v>9</v>
      </c>
      <c r="D31" s="759"/>
      <c r="E31" s="759"/>
      <c r="F31" s="754">
        <v>143.69</v>
      </c>
      <c r="G31" s="754"/>
      <c r="H31" s="747">
        <v>0</v>
      </c>
      <c r="I31" s="747"/>
      <c r="J31" s="767">
        <v>321.22000000000003</v>
      </c>
      <c r="K31" s="768"/>
    </row>
    <row r="32" spans="3:11" ht="15" thickBot="1" x14ac:dyDescent="0.35">
      <c r="C32" s="758" t="s">
        <v>10</v>
      </c>
      <c r="D32" s="759"/>
      <c r="E32" s="759"/>
      <c r="F32" s="754">
        <v>143.69</v>
      </c>
      <c r="G32" s="754"/>
      <c r="H32" s="755">
        <v>0</v>
      </c>
      <c r="I32" s="755"/>
      <c r="J32" s="767">
        <v>321.22000000000003</v>
      </c>
      <c r="K32" s="768"/>
    </row>
    <row r="33" spans="3:11" ht="15" thickBot="1" x14ac:dyDescent="0.35">
      <c r="C33" s="758" t="s">
        <v>11</v>
      </c>
      <c r="D33" s="759"/>
      <c r="E33" s="759"/>
      <c r="F33" s="754">
        <v>143.69</v>
      </c>
      <c r="G33" s="754"/>
      <c r="H33" s="766">
        <v>0</v>
      </c>
      <c r="I33" s="766"/>
      <c r="J33" s="767">
        <v>321.22000000000003</v>
      </c>
      <c r="K33" s="768"/>
    </row>
    <row r="34" spans="3:11" x14ac:dyDescent="0.3">
      <c r="C34" s="758" t="s">
        <v>12</v>
      </c>
      <c r="D34" s="759"/>
      <c r="E34" s="759"/>
      <c r="F34" s="746">
        <v>177.64</v>
      </c>
      <c r="G34" s="746"/>
      <c r="H34" s="761">
        <v>0</v>
      </c>
      <c r="I34" s="761"/>
      <c r="J34" s="742">
        <v>200.51</v>
      </c>
      <c r="K34" s="743"/>
    </row>
    <row r="35" spans="3:11" x14ac:dyDescent="0.3">
      <c r="C35" s="758" t="s">
        <v>13</v>
      </c>
      <c r="D35" s="759"/>
      <c r="E35" s="759"/>
      <c r="F35" s="746">
        <v>177.64</v>
      </c>
      <c r="G35" s="746"/>
      <c r="H35" s="747">
        <v>0</v>
      </c>
      <c r="I35" s="747"/>
      <c r="J35" s="742">
        <v>200.51</v>
      </c>
      <c r="K35" s="743"/>
    </row>
    <row r="36" spans="3:11" x14ac:dyDescent="0.3">
      <c r="C36" s="758" t="s">
        <v>14</v>
      </c>
      <c r="D36" s="759"/>
      <c r="E36" s="759"/>
      <c r="F36" s="746">
        <v>177.64</v>
      </c>
      <c r="G36" s="746"/>
      <c r="H36" s="747">
        <v>0</v>
      </c>
      <c r="I36" s="747"/>
      <c r="J36" s="742">
        <v>200.51</v>
      </c>
      <c r="K36" s="743"/>
    </row>
    <row r="37" spans="3:11" x14ac:dyDescent="0.3">
      <c r="C37" s="758" t="s">
        <v>15</v>
      </c>
      <c r="D37" s="759"/>
      <c r="E37" s="759"/>
      <c r="F37" s="746">
        <v>177.64</v>
      </c>
      <c r="G37" s="746"/>
      <c r="H37" s="747">
        <v>0</v>
      </c>
      <c r="I37" s="747"/>
      <c r="J37" s="742">
        <v>200.51</v>
      </c>
      <c r="K37" s="743"/>
    </row>
    <row r="38" spans="3:11" x14ac:dyDescent="0.3">
      <c r="C38" s="758" t="s">
        <v>16</v>
      </c>
      <c r="D38" s="759"/>
      <c r="E38" s="759"/>
      <c r="F38" s="746">
        <v>210.58</v>
      </c>
      <c r="G38" s="746"/>
      <c r="H38" s="747">
        <v>0</v>
      </c>
      <c r="I38" s="747"/>
      <c r="J38" s="742">
        <v>135.54</v>
      </c>
      <c r="K38" s="743"/>
    </row>
    <row r="39" spans="3:11" x14ac:dyDescent="0.3">
      <c r="C39" s="758" t="s">
        <v>17</v>
      </c>
      <c r="D39" s="759"/>
      <c r="E39" s="759"/>
      <c r="F39" s="746">
        <v>210.58</v>
      </c>
      <c r="G39" s="746"/>
      <c r="H39" s="747">
        <v>0</v>
      </c>
      <c r="I39" s="747"/>
      <c r="J39" s="742">
        <v>135.54</v>
      </c>
      <c r="K39" s="743"/>
    </row>
    <row r="40" spans="3:11" x14ac:dyDescent="0.3">
      <c r="C40" s="758" t="s">
        <v>20</v>
      </c>
      <c r="D40" s="759"/>
      <c r="E40" s="759"/>
      <c r="F40" s="746">
        <v>229.34</v>
      </c>
      <c r="G40" s="746"/>
      <c r="H40" s="747">
        <v>0</v>
      </c>
      <c r="I40" s="747"/>
      <c r="J40" s="742">
        <v>114.29</v>
      </c>
      <c r="K40" s="743"/>
    </row>
    <row r="41" spans="3:11" x14ac:dyDescent="0.3">
      <c r="C41" s="758" t="s">
        <v>19</v>
      </c>
      <c r="D41" s="759"/>
      <c r="E41" s="759"/>
      <c r="F41" s="746">
        <v>251.94</v>
      </c>
      <c r="G41" s="746"/>
      <c r="H41" s="747">
        <v>0</v>
      </c>
      <c r="I41" s="747"/>
      <c r="J41" s="742">
        <v>101.17</v>
      </c>
      <c r="K41" s="743"/>
    </row>
    <row r="42" spans="3:11" ht="15" thickBot="1" x14ac:dyDescent="0.35">
      <c r="C42" s="714" t="s">
        <v>18</v>
      </c>
      <c r="D42" s="715"/>
      <c r="E42" s="715"/>
      <c r="F42" s="752">
        <v>463.81</v>
      </c>
      <c r="G42" s="752"/>
      <c r="H42" s="753">
        <v>0</v>
      </c>
      <c r="I42" s="753"/>
      <c r="J42" s="740">
        <v>68.069999999999993</v>
      </c>
      <c r="K42" s="741"/>
    </row>
    <row r="43" spans="3:11" ht="15" thickBot="1" x14ac:dyDescent="0.35"/>
    <row r="44" spans="3:11" ht="15" customHeight="1" x14ac:dyDescent="0.3">
      <c r="C44" s="717" t="s">
        <v>24</v>
      </c>
      <c r="D44" s="718"/>
      <c r="E44" s="718"/>
      <c r="F44" s="729" t="s">
        <v>7</v>
      </c>
      <c r="G44" s="729"/>
      <c r="H44" s="729"/>
      <c r="I44" s="729"/>
      <c r="J44" s="729"/>
      <c r="K44" s="730"/>
    </row>
    <row r="45" spans="3:11" ht="63.75" customHeight="1" x14ac:dyDescent="0.3">
      <c r="C45" s="719" t="s">
        <v>6</v>
      </c>
      <c r="D45" s="720"/>
      <c r="E45" s="720"/>
      <c r="F45" s="720" t="s">
        <v>21</v>
      </c>
      <c r="G45" s="720"/>
      <c r="H45" s="720" t="s">
        <v>22</v>
      </c>
      <c r="I45" s="720"/>
      <c r="J45" s="720" t="s">
        <v>23</v>
      </c>
      <c r="K45" s="722"/>
    </row>
    <row r="46" spans="3:11" ht="15" thickBot="1" x14ac:dyDescent="0.35">
      <c r="C46" s="760"/>
      <c r="D46" s="756"/>
      <c r="E46" s="756"/>
      <c r="F46" s="756"/>
      <c r="G46" s="756"/>
      <c r="H46" s="756"/>
      <c r="I46" s="756"/>
      <c r="J46" s="756"/>
      <c r="K46" s="757"/>
    </row>
    <row r="47" spans="3:11" ht="15" thickBot="1" x14ac:dyDescent="0.35">
      <c r="C47" s="762" t="s">
        <v>8</v>
      </c>
      <c r="D47" s="763"/>
      <c r="E47" s="763"/>
      <c r="F47" s="764">
        <v>105.79</v>
      </c>
      <c r="G47" s="764"/>
      <c r="H47" s="765">
        <v>119641.78</v>
      </c>
      <c r="I47" s="765"/>
      <c r="J47" s="748">
        <v>0</v>
      </c>
      <c r="K47" s="749"/>
    </row>
    <row r="48" spans="3:11" ht="15" thickBot="1" x14ac:dyDescent="0.35">
      <c r="C48" s="758" t="s">
        <v>9</v>
      </c>
      <c r="D48" s="759"/>
      <c r="E48" s="759"/>
      <c r="F48" s="754">
        <v>143.69</v>
      </c>
      <c r="G48" s="754"/>
      <c r="H48" s="747">
        <v>0</v>
      </c>
      <c r="I48" s="747"/>
      <c r="J48" s="767">
        <v>321.22000000000003</v>
      </c>
      <c r="K48" s="768"/>
    </row>
    <row r="49" spans="3:11" ht="15" thickBot="1" x14ac:dyDescent="0.35">
      <c r="C49" s="758" t="s">
        <v>10</v>
      </c>
      <c r="D49" s="759"/>
      <c r="E49" s="759"/>
      <c r="F49" s="754">
        <v>143.69</v>
      </c>
      <c r="G49" s="754"/>
      <c r="H49" s="755">
        <v>0</v>
      </c>
      <c r="I49" s="755"/>
      <c r="J49" s="767">
        <v>321.22000000000003</v>
      </c>
      <c r="K49" s="768"/>
    </row>
    <row r="50" spans="3:11" ht="15" thickBot="1" x14ac:dyDescent="0.35">
      <c r="C50" s="758" t="s">
        <v>11</v>
      </c>
      <c r="D50" s="759"/>
      <c r="E50" s="759"/>
      <c r="F50" s="754">
        <v>143.69</v>
      </c>
      <c r="G50" s="754"/>
      <c r="H50" s="766">
        <v>0</v>
      </c>
      <c r="I50" s="766"/>
      <c r="J50" s="767">
        <v>321.22000000000003</v>
      </c>
      <c r="K50" s="768"/>
    </row>
    <row r="51" spans="3:11" x14ac:dyDescent="0.3">
      <c r="C51" s="758" t="s">
        <v>12</v>
      </c>
      <c r="D51" s="759"/>
      <c r="E51" s="759"/>
      <c r="F51" s="746">
        <v>177.64</v>
      </c>
      <c r="G51" s="746"/>
      <c r="H51" s="761">
        <v>0</v>
      </c>
      <c r="I51" s="761"/>
      <c r="J51" s="742">
        <v>200.51</v>
      </c>
      <c r="K51" s="743"/>
    </row>
    <row r="52" spans="3:11" x14ac:dyDescent="0.3">
      <c r="C52" s="758" t="s">
        <v>13</v>
      </c>
      <c r="D52" s="759"/>
      <c r="E52" s="759"/>
      <c r="F52" s="746">
        <v>177.64</v>
      </c>
      <c r="G52" s="746"/>
      <c r="H52" s="747">
        <v>0</v>
      </c>
      <c r="I52" s="747"/>
      <c r="J52" s="742">
        <v>200.51</v>
      </c>
      <c r="K52" s="743"/>
    </row>
    <row r="53" spans="3:11" x14ac:dyDescent="0.3">
      <c r="C53" s="758" t="s">
        <v>14</v>
      </c>
      <c r="D53" s="759"/>
      <c r="E53" s="759"/>
      <c r="F53" s="746">
        <v>177.64</v>
      </c>
      <c r="G53" s="746"/>
      <c r="H53" s="747">
        <v>0</v>
      </c>
      <c r="I53" s="747"/>
      <c r="J53" s="742">
        <v>200.51</v>
      </c>
      <c r="K53" s="743"/>
    </row>
    <row r="54" spans="3:11" x14ac:dyDescent="0.3">
      <c r="C54" s="758" t="s">
        <v>15</v>
      </c>
      <c r="D54" s="759"/>
      <c r="E54" s="759"/>
      <c r="F54" s="746">
        <v>177.64</v>
      </c>
      <c r="G54" s="746"/>
      <c r="H54" s="747">
        <v>0</v>
      </c>
      <c r="I54" s="747"/>
      <c r="J54" s="742">
        <v>200.51</v>
      </c>
      <c r="K54" s="743"/>
    </row>
    <row r="55" spans="3:11" x14ac:dyDescent="0.3">
      <c r="C55" s="758" t="s">
        <v>16</v>
      </c>
      <c r="D55" s="759"/>
      <c r="E55" s="759"/>
      <c r="F55" s="746">
        <v>210.58</v>
      </c>
      <c r="G55" s="746"/>
      <c r="H55" s="747">
        <v>0</v>
      </c>
      <c r="I55" s="747"/>
      <c r="J55" s="742">
        <v>135.54</v>
      </c>
      <c r="K55" s="743"/>
    </row>
    <row r="56" spans="3:11" x14ac:dyDescent="0.3">
      <c r="C56" s="758" t="s">
        <v>17</v>
      </c>
      <c r="D56" s="759"/>
      <c r="E56" s="759"/>
      <c r="F56" s="746">
        <v>210.58</v>
      </c>
      <c r="G56" s="746"/>
      <c r="H56" s="747">
        <v>0</v>
      </c>
      <c r="I56" s="747"/>
      <c r="J56" s="742">
        <v>135.54</v>
      </c>
      <c r="K56" s="743"/>
    </row>
    <row r="57" spans="3:11" x14ac:dyDescent="0.3">
      <c r="C57" s="758" t="s">
        <v>20</v>
      </c>
      <c r="D57" s="759"/>
      <c r="E57" s="759"/>
      <c r="F57" s="746">
        <v>229.34</v>
      </c>
      <c r="G57" s="746"/>
      <c r="H57" s="747">
        <v>0</v>
      </c>
      <c r="I57" s="747"/>
      <c r="J57" s="742">
        <v>114.29</v>
      </c>
      <c r="K57" s="743"/>
    </row>
    <row r="58" spans="3:11" x14ac:dyDescent="0.3">
      <c r="C58" s="758" t="s">
        <v>19</v>
      </c>
      <c r="D58" s="759"/>
      <c r="E58" s="759"/>
      <c r="F58" s="746">
        <v>251.94</v>
      </c>
      <c r="G58" s="746"/>
      <c r="H58" s="747">
        <v>0</v>
      </c>
      <c r="I58" s="747"/>
      <c r="J58" s="742">
        <v>101.17</v>
      </c>
      <c r="K58" s="743"/>
    </row>
    <row r="59" spans="3:11" ht="15" thickBot="1" x14ac:dyDescent="0.35">
      <c r="C59" s="714" t="s">
        <v>18</v>
      </c>
      <c r="D59" s="715"/>
      <c r="E59" s="715"/>
      <c r="F59" s="752">
        <v>463.81</v>
      </c>
      <c r="G59" s="752"/>
      <c r="H59" s="753">
        <v>0</v>
      </c>
      <c r="I59" s="753"/>
      <c r="J59" s="740">
        <v>68.069999999999993</v>
      </c>
      <c r="K59" s="741"/>
    </row>
    <row r="60" spans="3:11" ht="15" thickBot="1" x14ac:dyDescent="0.35"/>
    <row r="61" spans="3:11" ht="15" customHeight="1" x14ac:dyDescent="0.3">
      <c r="C61" s="717" t="s">
        <v>25</v>
      </c>
      <c r="D61" s="718"/>
      <c r="E61" s="718"/>
      <c r="F61" s="729" t="s">
        <v>7</v>
      </c>
      <c r="G61" s="729"/>
      <c r="H61" s="729"/>
      <c r="I61" s="729"/>
      <c r="J61" s="729"/>
      <c r="K61" s="730"/>
    </row>
    <row r="62" spans="3:11" ht="63.75" customHeight="1" x14ac:dyDescent="0.3">
      <c r="C62" s="719" t="s">
        <v>6</v>
      </c>
      <c r="D62" s="720"/>
      <c r="E62" s="720"/>
      <c r="F62" s="720" t="s">
        <v>21</v>
      </c>
      <c r="G62" s="720"/>
      <c r="H62" s="720" t="s">
        <v>22</v>
      </c>
      <c r="I62" s="720"/>
      <c r="J62" s="720" t="s">
        <v>23</v>
      </c>
      <c r="K62" s="722"/>
    </row>
    <row r="63" spans="3:11" ht="15" thickBot="1" x14ac:dyDescent="0.35">
      <c r="C63" s="760"/>
      <c r="D63" s="756"/>
      <c r="E63" s="756"/>
      <c r="F63" s="756"/>
      <c r="G63" s="756"/>
      <c r="H63" s="756"/>
      <c r="I63" s="756"/>
      <c r="J63" s="756"/>
      <c r="K63" s="757"/>
    </row>
    <row r="64" spans="3:11" ht="15" thickBot="1" x14ac:dyDescent="0.35">
      <c r="C64" s="769" t="s">
        <v>8</v>
      </c>
      <c r="D64" s="770"/>
      <c r="E64" s="770"/>
      <c r="F64" s="764">
        <v>105.79</v>
      </c>
      <c r="G64" s="764"/>
      <c r="H64" s="765">
        <v>119641.78</v>
      </c>
      <c r="I64" s="765"/>
      <c r="J64" s="748">
        <v>0</v>
      </c>
      <c r="K64" s="749"/>
    </row>
    <row r="65" spans="1:13" ht="15" thickBot="1" x14ac:dyDescent="0.35">
      <c r="C65" s="744" t="s">
        <v>9</v>
      </c>
      <c r="D65" s="745"/>
      <c r="E65" s="745"/>
      <c r="F65" s="754">
        <v>143.69</v>
      </c>
      <c r="G65" s="754"/>
      <c r="H65" s="747">
        <v>0</v>
      </c>
      <c r="I65" s="747"/>
      <c r="J65" s="767">
        <v>321.22000000000003</v>
      </c>
      <c r="K65" s="768"/>
    </row>
    <row r="66" spans="1:13" ht="15" thickBot="1" x14ac:dyDescent="0.35">
      <c r="C66" s="744" t="s">
        <v>10</v>
      </c>
      <c r="D66" s="745"/>
      <c r="E66" s="745"/>
      <c r="F66" s="754">
        <v>143.69</v>
      </c>
      <c r="G66" s="754"/>
      <c r="H66" s="755">
        <v>0</v>
      </c>
      <c r="I66" s="755"/>
      <c r="J66" s="767">
        <v>321.22000000000003</v>
      </c>
      <c r="K66" s="768"/>
    </row>
    <row r="67" spans="1:13" ht="15" thickBot="1" x14ac:dyDescent="0.35">
      <c r="C67" s="744" t="s">
        <v>11</v>
      </c>
      <c r="D67" s="745"/>
      <c r="E67" s="745"/>
      <c r="F67" s="754">
        <v>143.69</v>
      </c>
      <c r="G67" s="754"/>
      <c r="H67" s="766">
        <v>0</v>
      </c>
      <c r="I67" s="766"/>
      <c r="J67" s="767">
        <v>321.22000000000003</v>
      </c>
      <c r="K67" s="768"/>
    </row>
    <row r="68" spans="1:13" x14ac:dyDescent="0.3">
      <c r="C68" s="744" t="s">
        <v>12</v>
      </c>
      <c r="D68" s="745"/>
      <c r="E68" s="745"/>
      <c r="F68" s="746">
        <v>177.64</v>
      </c>
      <c r="G68" s="746"/>
      <c r="H68" s="761">
        <v>0</v>
      </c>
      <c r="I68" s="761"/>
      <c r="J68" s="742">
        <v>200.51</v>
      </c>
      <c r="K68" s="743"/>
    </row>
    <row r="69" spans="1:13" x14ac:dyDescent="0.3">
      <c r="C69" s="744" t="s">
        <v>13</v>
      </c>
      <c r="D69" s="745"/>
      <c r="E69" s="745"/>
      <c r="F69" s="746">
        <v>177.64</v>
      </c>
      <c r="G69" s="746"/>
      <c r="H69" s="747">
        <v>0</v>
      </c>
      <c r="I69" s="747"/>
      <c r="J69" s="742">
        <v>200.51</v>
      </c>
      <c r="K69" s="743"/>
    </row>
    <row r="70" spans="1:13" x14ac:dyDescent="0.3">
      <c r="C70" s="744" t="s">
        <v>14</v>
      </c>
      <c r="D70" s="745"/>
      <c r="E70" s="745"/>
      <c r="F70" s="746">
        <v>177.64</v>
      </c>
      <c r="G70" s="746"/>
      <c r="H70" s="747">
        <v>0</v>
      </c>
      <c r="I70" s="747"/>
      <c r="J70" s="742">
        <v>200.51</v>
      </c>
      <c r="K70" s="743"/>
    </row>
    <row r="71" spans="1:13" x14ac:dyDescent="0.3">
      <c r="C71" s="744" t="s">
        <v>15</v>
      </c>
      <c r="D71" s="745"/>
      <c r="E71" s="745"/>
      <c r="F71" s="746">
        <v>177.64</v>
      </c>
      <c r="G71" s="746"/>
      <c r="H71" s="747">
        <v>0</v>
      </c>
      <c r="I71" s="747"/>
      <c r="J71" s="742">
        <v>200.51</v>
      </c>
      <c r="K71" s="743"/>
    </row>
    <row r="72" spans="1:13" x14ac:dyDescent="0.3">
      <c r="C72" s="744" t="s">
        <v>16</v>
      </c>
      <c r="D72" s="745"/>
      <c r="E72" s="745"/>
      <c r="F72" s="746">
        <v>210.58</v>
      </c>
      <c r="G72" s="746"/>
      <c r="H72" s="747">
        <v>0</v>
      </c>
      <c r="I72" s="747"/>
      <c r="J72" s="742">
        <v>135.54</v>
      </c>
      <c r="K72" s="743"/>
    </row>
    <row r="73" spans="1:13" x14ac:dyDescent="0.3">
      <c r="C73" s="744" t="s">
        <v>17</v>
      </c>
      <c r="D73" s="745"/>
      <c r="E73" s="745"/>
      <c r="F73" s="746">
        <v>210.58</v>
      </c>
      <c r="G73" s="746"/>
      <c r="H73" s="747">
        <v>0</v>
      </c>
      <c r="I73" s="747"/>
      <c r="J73" s="742">
        <v>135.54</v>
      </c>
      <c r="K73" s="743"/>
    </row>
    <row r="74" spans="1:13" x14ac:dyDescent="0.3">
      <c r="C74" s="744" t="s">
        <v>20</v>
      </c>
      <c r="D74" s="745"/>
      <c r="E74" s="745"/>
      <c r="F74" s="746">
        <v>229.34</v>
      </c>
      <c r="G74" s="746"/>
      <c r="H74" s="747">
        <v>0</v>
      </c>
      <c r="I74" s="747"/>
      <c r="J74" s="742">
        <v>114.29</v>
      </c>
      <c r="K74" s="743"/>
    </row>
    <row r="75" spans="1:13" x14ac:dyDescent="0.3">
      <c r="C75" s="744" t="s">
        <v>19</v>
      </c>
      <c r="D75" s="745"/>
      <c r="E75" s="745"/>
      <c r="F75" s="746">
        <v>251.94</v>
      </c>
      <c r="G75" s="746"/>
      <c r="H75" s="747">
        <v>0</v>
      </c>
      <c r="I75" s="747"/>
      <c r="J75" s="742">
        <v>101.17</v>
      </c>
      <c r="K75" s="743"/>
    </row>
    <row r="76" spans="1:13" ht="15" thickBot="1" x14ac:dyDescent="0.35">
      <c r="C76" s="750" t="s">
        <v>18</v>
      </c>
      <c r="D76" s="751"/>
      <c r="E76" s="751"/>
      <c r="F76" s="752">
        <v>463.81</v>
      </c>
      <c r="G76" s="752"/>
      <c r="H76" s="753">
        <v>0</v>
      </c>
      <c r="I76" s="753"/>
      <c r="J76" s="740">
        <v>68.069999999999993</v>
      </c>
      <c r="K76" s="741"/>
    </row>
    <row r="78" spans="1:13" ht="16.2" x14ac:dyDescent="0.3">
      <c r="A78" s="1" t="s">
        <v>69</v>
      </c>
    </row>
    <row r="79" spans="1:13" ht="15" thickBot="1" x14ac:dyDescent="0.35">
      <c r="A79" s="1" t="s">
        <v>26</v>
      </c>
      <c r="C79" s="1" t="s">
        <v>70</v>
      </c>
    </row>
    <row r="80" spans="1:13" ht="15" customHeight="1" x14ac:dyDescent="0.3">
      <c r="C80" s="717" t="s">
        <v>27</v>
      </c>
      <c r="D80" s="718"/>
      <c r="E80" s="729" t="s">
        <v>28</v>
      </c>
      <c r="F80" s="729"/>
      <c r="G80" s="729"/>
      <c r="H80" s="730"/>
      <c r="J80" s="729" t="s">
        <v>131</v>
      </c>
      <c r="K80" s="729"/>
      <c r="L80" s="729"/>
      <c r="M80" s="730"/>
    </row>
    <row r="81" spans="1:20" x14ac:dyDescent="0.3">
      <c r="C81" s="719"/>
      <c r="D81" s="720"/>
      <c r="E81" s="731" t="s">
        <v>29</v>
      </c>
      <c r="F81" s="731"/>
      <c r="G81" s="731" t="s">
        <v>30</v>
      </c>
      <c r="H81" s="732"/>
      <c r="J81" s="731" t="s">
        <v>29</v>
      </c>
      <c r="K81" s="731"/>
      <c r="L81" s="731" t="s">
        <v>30</v>
      </c>
      <c r="M81" s="732"/>
      <c r="P81" s="1" t="s">
        <v>136</v>
      </c>
    </row>
    <row r="82" spans="1:20" ht="15" thickBot="1" x14ac:dyDescent="0.35">
      <c r="C82" s="727"/>
      <c r="D82" s="728"/>
      <c r="E82" s="6" t="s">
        <v>31</v>
      </c>
      <c r="F82" s="6" t="s">
        <v>32</v>
      </c>
      <c r="G82" s="6" t="s">
        <v>31</v>
      </c>
      <c r="H82" s="7" t="s">
        <v>32</v>
      </c>
      <c r="J82" s="6" t="s">
        <v>31</v>
      </c>
      <c r="K82" s="6" t="s">
        <v>32</v>
      </c>
      <c r="L82" s="6" t="s">
        <v>31</v>
      </c>
      <c r="M82" s="7" t="s">
        <v>32</v>
      </c>
      <c r="O82" s="1">
        <v>2022</v>
      </c>
      <c r="T82" s="54"/>
    </row>
    <row r="83" spans="1:20" ht="15" thickBot="1" x14ac:dyDescent="0.35">
      <c r="C83" s="738" t="s">
        <v>140</v>
      </c>
      <c r="D83" s="739"/>
      <c r="E83" s="50">
        <v>314.9846</v>
      </c>
      <c r="F83" s="50">
        <v>-17.178899999999999</v>
      </c>
      <c r="G83" s="50">
        <v>355.9735</v>
      </c>
      <c r="H83" s="51">
        <v>-17.178899999999999</v>
      </c>
      <c r="J83" s="50">
        <f>ROUND(O83,4)</f>
        <v>330.73379999999997</v>
      </c>
      <c r="K83" s="50">
        <v>-17.178899999999999</v>
      </c>
      <c r="L83" s="50">
        <f>ROUND(P83,4)</f>
        <v>373.7722</v>
      </c>
      <c r="M83" s="50">
        <v>-17.178899999999999</v>
      </c>
      <c r="O83" s="50">
        <f>E83*1.05</f>
        <v>330.73383000000001</v>
      </c>
      <c r="P83" s="50">
        <f>G83*1.05</f>
        <v>373.772175</v>
      </c>
    </row>
    <row r="84" spans="1:20" ht="15" thickBot="1" x14ac:dyDescent="0.35">
      <c r="C84" s="738" t="s">
        <v>141</v>
      </c>
      <c r="D84" s="739"/>
      <c r="E84" s="50"/>
      <c r="F84" s="50"/>
      <c r="G84" s="50"/>
      <c r="H84" s="51"/>
      <c r="J84" s="50"/>
      <c r="K84" s="50"/>
      <c r="L84" s="50"/>
      <c r="M84" s="50"/>
      <c r="O84" s="50"/>
      <c r="P84" s="50"/>
    </row>
    <row r="85" spans="1:20" ht="15" thickBot="1" x14ac:dyDescent="0.35">
      <c r="C85" s="738"/>
      <c r="D85" s="739"/>
      <c r="E85" s="50"/>
      <c r="F85" s="50"/>
      <c r="G85" s="50"/>
      <c r="H85" s="51"/>
      <c r="J85" s="50"/>
      <c r="K85" s="50"/>
      <c r="L85" s="50"/>
      <c r="M85" s="50"/>
      <c r="O85" s="50"/>
      <c r="P85" s="50"/>
    </row>
    <row r="86" spans="1:20" ht="15" thickBot="1" x14ac:dyDescent="0.35">
      <c r="C86" s="725"/>
      <c r="D86" s="726"/>
      <c r="E86" s="50"/>
      <c r="F86" s="50"/>
      <c r="G86" s="50"/>
      <c r="H86" s="51"/>
      <c r="J86" s="50"/>
      <c r="K86" s="50"/>
      <c r="L86" s="50"/>
      <c r="M86" s="50"/>
      <c r="O86" s="50"/>
      <c r="P86" s="50"/>
    </row>
    <row r="87" spans="1:20" x14ac:dyDescent="0.3">
      <c r="C87" s="1" t="s">
        <v>36</v>
      </c>
    </row>
    <row r="88" spans="1:20" x14ac:dyDescent="0.3">
      <c r="C88" s="1" t="s">
        <v>34</v>
      </c>
    </row>
    <row r="89" spans="1:20" ht="16.2" x14ac:dyDescent="0.3">
      <c r="C89" s="1" t="s">
        <v>35</v>
      </c>
    </row>
    <row r="91" spans="1:20" ht="16.2" thickBot="1" x14ac:dyDescent="0.4">
      <c r="A91" s="1" t="s">
        <v>37</v>
      </c>
    </row>
    <row r="92" spans="1:20" ht="16.2" thickBot="1" x14ac:dyDescent="0.35">
      <c r="C92" s="717" t="s">
        <v>27</v>
      </c>
      <c r="D92" s="718"/>
      <c r="E92" s="729" t="s">
        <v>38</v>
      </c>
      <c r="F92" s="729"/>
      <c r="G92" s="729"/>
      <c r="H92" s="730"/>
      <c r="M92" s="1" t="s">
        <v>139</v>
      </c>
    </row>
    <row r="93" spans="1:20" ht="15" thickBot="1" x14ac:dyDescent="0.35">
      <c r="C93" s="719"/>
      <c r="D93" s="720"/>
      <c r="E93" s="731" t="s">
        <v>29</v>
      </c>
      <c r="F93" s="731"/>
      <c r="G93" s="731" t="s">
        <v>30</v>
      </c>
      <c r="H93" s="732"/>
      <c r="K93" s="8"/>
      <c r="O93" s="57">
        <v>3092.74</v>
      </c>
      <c r="Q93" s="56" t="s">
        <v>138</v>
      </c>
    </row>
    <row r="94" spans="1:20" ht="15" thickBot="1" x14ac:dyDescent="0.35">
      <c r="C94" s="727"/>
      <c r="D94" s="728"/>
      <c r="E94" s="733" t="s">
        <v>2</v>
      </c>
      <c r="F94" s="734"/>
      <c r="G94" s="733" t="s">
        <v>2</v>
      </c>
      <c r="H94" s="735"/>
    </row>
    <row r="95" spans="1:20" ht="15" thickBot="1" x14ac:dyDescent="0.35">
      <c r="C95" s="736" t="s">
        <v>5</v>
      </c>
      <c r="D95" s="737"/>
      <c r="E95" s="723">
        <v>16.350000000000001</v>
      </c>
      <c r="F95" s="723"/>
      <c r="G95" s="723">
        <v>43.26</v>
      </c>
      <c r="H95" s="724"/>
    </row>
    <row r="96" spans="1:20" ht="15" thickBot="1" x14ac:dyDescent="0.35">
      <c r="C96" s="738" t="s">
        <v>33</v>
      </c>
      <c r="D96" s="739"/>
      <c r="E96" s="723">
        <v>16.350000000000001</v>
      </c>
      <c r="F96" s="723"/>
      <c r="G96" s="723">
        <v>43.26</v>
      </c>
      <c r="H96" s="724"/>
    </row>
    <row r="97" spans="1:8" ht="15" thickBot="1" x14ac:dyDescent="0.35">
      <c r="C97" s="738" t="s">
        <v>24</v>
      </c>
      <c r="D97" s="739"/>
      <c r="E97" s="723">
        <v>16.350000000000001</v>
      </c>
      <c r="F97" s="723"/>
      <c r="G97" s="723">
        <v>43.26</v>
      </c>
      <c r="H97" s="724"/>
    </row>
    <row r="98" spans="1:8" ht="15" thickBot="1" x14ac:dyDescent="0.35">
      <c r="C98" s="725" t="s">
        <v>25</v>
      </c>
      <c r="D98" s="726"/>
      <c r="E98" s="723">
        <v>16.350000000000001</v>
      </c>
      <c r="F98" s="723"/>
      <c r="G98" s="723">
        <v>43.26</v>
      </c>
      <c r="H98" s="724"/>
    </row>
    <row r="100" spans="1:8" x14ac:dyDescent="0.3">
      <c r="A100" s="1" t="s">
        <v>92</v>
      </c>
    </row>
    <row r="101" spans="1:8" ht="15.6" x14ac:dyDescent="0.35">
      <c r="A101" s="1" t="s">
        <v>39</v>
      </c>
    </row>
    <row r="102" spans="1:8" ht="16.8" x14ac:dyDescent="0.35">
      <c r="C102" s="1" t="s">
        <v>40</v>
      </c>
      <c r="G102" s="1" t="s">
        <v>135</v>
      </c>
    </row>
    <row r="104" spans="1:8" x14ac:dyDescent="0.3">
      <c r="A104" s="1" t="s">
        <v>41</v>
      </c>
    </row>
    <row r="106" spans="1:8" x14ac:dyDescent="0.3">
      <c r="A106" s="1" t="s">
        <v>42</v>
      </c>
    </row>
    <row r="107" spans="1:8" ht="15.6" x14ac:dyDescent="0.35">
      <c r="A107" s="1" t="s">
        <v>43</v>
      </c>
    </row>
    <row r="108" spans="1:8" ht="15.6" x14ac:dyDescent="0.35">
      <c r="C108" s="1" t="s">
        <v>44</v>
      </c>
    </row>
    <row r="110" spans="1:8" x14ac:dyDescent="0.3">
      <c r="A110" s="1" t="s">
        <v>45</v>
      </c>
    </row>
    <row r="111" spans="1:8" ht="16.8" x14ac:dyDescent="0.35">
      <c r="A111" s="1" t="s">
        <v>79</v>
      </c>
    </row>
    <row r="112" spans="1:8" ht="15.6" x14ac:dyDescent="0.35">
      <c r="C112" s="1" t="s">
        <v>50</v>
      </c>
      <c r="G112" s="1" t="s">
        <v>46</v>
      </c>
    </row>
    <row r="113" spans="1:11" x14ac:dyDescent="0.3">
      <c r="G113" s="1" t="s">
        <v>47</v>
      </c>
    </row>
    <row r="114" spans="1:11" x14ac:dyDescent="0.3">
      <c r="G114" s="1" t="s">
        <v>49</v>
      </c>
    </row>
    <row r="115" spans="1:11" x14ac:dyDescent="0.3">
      <c r="G115" s="1" t="s">
        <v>48</v>
      </c>
    </row>
    <row r="117" spans="1:11" x14ac:dyDescent="0.3">
      <c r="A117" s="1" t="s">
        <v>51</v>
      </c>
    </row>
    <row r="118" spans="1:11" x14ac:dyDescent="0.3">
      <c r="A118" s="1" t="s">
        <v>52</v>
      </c>
    </row>
    <row r="119" spans="1:11" ht="15.6" x14ac:dyDescent="0.35">
      <c r="A119" s="1" t="s">
        <v>54</v>
      </c>
    </row>
    <row r="120" spans="1:11" ht="16.2" x14ac:dyDescent="0.3">
      <c r="A120" s="1" t="s">
        <v>77</v>
      </c>
    </row>
    <row r="121" spans="1:11" ht="15.6" x14ac:dyDescent="0.35">
      <c r="C121" s="1" t="s">
        <v>53</v>
      </c>
    </row>
    <row r="122" spans="1:11" ht="15" thickBot="1" x14ac:dyDescent="0.35"/>
    <row r="123" spans="1:11" x14ac:dyDescent="0.3">
      <c r="B123" s="717" t="s">
        <v>55</v>
      </c>
      <c r="C123" s="718"/>
      <c r="D123" s="718" t="s">
        <v>57</v>
      </c>
      <c r="E123" s="718"/>
      <c r="F123" s="718" t="s">
        <v>58</v>
      </c>
      <c r="G123" s="718"/>
      <c r="H123" s="718" t="s">
        <v>59</v>
      </c>
      <c r="I123" s="721"/>
    </row>
    <row r="124" spans="1:11" x14ac:dyDescent="0.3">
      <c r="B124" s="719"/>
      <c r="C124" s="720"/>
      <c r="D124" s="720"/>
      <c r="E124" s="720"/>
      <c r="F124" s="720"/>
      <c r="G124" s="720"/>
      <c r="H124" s="720"/>
      <c r="I124" s="722"/>
      <c r="K124" s="56" t="s">
        <v>138</v>
      </c>
    </row>
    <row r="125" spans="1:11" ht="15" thickBot="1" x14ac:dyDescent="0.35">
      <c r="B125" s="714" t="s">
        <v>56</v>
      </c>
      <c r="C125" s="715"/>
      <c r="D125" s="715">
        <v>0.4</v>
      </c>
      <c r="E125" s="715"/>
      <c r="F125" s="715">
        <v>0.2</v>
      </c>
      <c r="G125" s="715"/>
      <c r="H125" s="715">
        <v>8.3000000000000004E-2</v>
      </c>
      <c r="I125" s="716"/>
    </row>
    <row r="126" spans="1:11" x14ac:dyDescent="0.3">
      <c r="B126" s="9"/>
      <c r="C126" s="9"/>
      <c r="D126" s="9"/>
      <c r="E126" s="9"/>
      <c r="F126" s="9"/>
      <c r="G126" s="9"/>
      <c r="H126" s="9"/>
      <c r="I126" s="9"/>
    </row>
    <row r="127" spans="1:11" x14ac:dyDescent="0.3">
      <c r="A127" s="1" t="s">
        <v>81</v>
      </c>
      <c r="B127" s="9"/>
      <c r="C127" s="9"/>
      <c r="D127" s="9"/>
      <c r="E127" s="9"/>
      <c r="F127" s="9"/>
      <c r="G127" s="9"/>
      <c r="H127" s="9"/>
      <c r="I127" s="9"/>
    </row>
    <row r="128" spans="1:11" x14ac:dyDescent="0.3">
      <c r="B128" s="9"/>
      <c r="C128" s="9"/>
      <c r="D128" s="9"/>
      <c r="E128" s="9"/>
      <c r="F128" s="9"/>
      <c r="G128" s="9"/>
      <c r="H128" s="9"/>
      <c r="I128" s="9"/>
    </row>
    <row r="129" spans="1:9" x14ac:dyDescent="0.3">
      <c r="A129" s="1" t="s">
        <v>85</v>
      </c>
      <c r="B129" s="9"/>
      <c r="C129" s="9"/>
      <c r="D129" s="9"/>
      <c r="E129" s="9"/>
      <c r="F129" s="9"/>
      <c r="G129" s="9"/>
      <c r="H129" s="9"/>
      <c r="I129" s="9"/>
    </row>
    <row r="130" spans="1:9" x14ac:dyDescent="0.3">
      <c r="A130" s="1" t="s">
        <v>82</v>
      </c>
      <c r="B130" s="9"/>
      <c r="C130" s="9"/>
      <c r="D130" s="9"/>
      <c r="E130" s="9"/>
      <c r="F130" s="9"/>
      <c r="G130" s="9"/>
      <c r="H130" s="9"/>
      <c r="I130" s="9"/>
    </row>
    <row r="131" spans="1:9" x14ac:dyDescent="0.3">
      <c r="A131" s="1" t="s">
        <v>83</v>
      </c>
      <c r="B131" s="9"/>
      <c r="C131" s="9"/>
      <c r="D131" s="9"/>
      <c r="E131" s="9"/>
      <c r="F131" s="9"/>
      <c r="G131" s="9"/>
      <c r="H131" s="9"/>
      <c r="I131" s="9"/>
    </row>
    <row r="132" spans="1:9" x14ac:dyDescent="0.3">
      <c r="A132" s="1" t="s">
        <v>89</v>
      </c>
      <c r="B132" s="9"/>
      <c r="C132" s="9"/>
      <c r="D132" s="9"/>
      <c r="E132" s="9"/>
      <c r="F132" s="9"/>
      <c r="G132" s="9"/>
      <c r="H132" s="9"/>
      <c r="I132" s="9"/>
    </row>
    <row r="133" spans="1:9" x14ac:dyDescent="0.3">
      <c r="B133" s="9"/>
      <c r="C133" s="9"/>
      <c r="D133" s="9"/>
      <c r="E133" s="9"/>
      <c r="F133" s="9"/>
      <c r="G133" s="9"/>
      <c r="H133" s="9"/>
      <c r="I133" s="9"/>
    </row>
    <row r="134" spans="1:9" x14ac:dyDescent="0.3">
      <c r="A134" s="1" t="s">
        <v>86</v>
      </c>
      <c r="B134" s="9"/>
      <c r="C134" s="9"/>
      <c r="D134" s="9"/>
      <c r="E134" s="9"/>
      <c r="F134" s="9"/>
      <c r="G134" s="9"/>
      <c r="H134" s="9"/>
      <c r="I134" s="9"/>
    </row>
    <row r="135" spans="1:9" x14ac:dyDescent="0.3">
      <c r="A135" s="1" t="s">
        <v>87</v>
      </c>
    </row>
    <row r="136" spans="1:9" x14ac:dyDescent="0.3">
      <c r="A136" s="1" t="s">
        <v>88</v>
      </c>
    </row>
    <row r="137" spans="1:9" x14ac:dyDescent="0.3">
      <c r="A137" s="1" t="s">
        <v>84</v>
      </c>
    </row>
    <row r="139" spans="1:9" x14ac:dyDescent="0.3">
      <c r="A139" s="1" t="s">
        <v>60</v>
      </c>
    </row>
    <row r="140" spans="1:9" x14ac:dyDescent="0.3">
      <c r="A140" s="1" t="s">
        <v>61</v>
      </c>
    </row>
    <row r="141" spans="1:9" x14ac:dyDescent="0.3">
      <c r="A141" s="1" t="s">
        <v>62</v>
      </c>
    </row>
    <row r="142" spans="1:9" ht="16.8" x14ac:dyDescent="0.35">
      <c r="A142" s="1" t="s">
        <v>78</v>
      </c>
    </row>
    <row r="143" spans="1:9" ht="15.6" x14ac:dyDescent="0.35">
      <c r="C143" s="1" t="s">
        <v>63</v>
      </c>
      <c r="F143" s="1" t="s">
        <v>64</v>
      </c>
    </row>
    <row r="144" spans="1:9" x14ac:dyDescent="0.3">
      <c r="F144" s="1" t="s">
        <v>65</v>
      </c>
    </row>
    <row r="145" spans="1:11" x14ac:dyDescent="0.3">
      <c r="F145" s="1" t="s">
        <v>66</v>
      </c>
    </row>
    <row r="146" spans="1:11" x14ac:dyDescent="0.3">
      <c r="F146" s="1" t="s">
        <v>67</v>
      </c>
    </row>
    <row r="147" spans="1:11" ht="15" thickBot="1" x14ac:dyDescent="0.35"/>
    <row r="148" spans="1:11" x14ac:dyDescent="0.3">
      <c r="B148" s="717" t="s">
        <v>55</v>
      </c>
      <c r="C148" s="718"/>
      <c r="D148" s="718" t="s">
        <v>57</v>
      </c>
      <c r="E148" s="718"/>
      <c r="F148" s="718" t="s">
        <v>58</v>
      </c>
      <c r="G148" s="718"/>
      <c r="H148" s="718" t="s">
        <v>59</v>
      </c>
      <c r="I148" s="721"/>
    </row>
    <row r="149" spans="1:11" x14ac:dyDescent="0.3">
      <c r="B149" s="719"/>
      <c r="C149" s="720"/>
      <c r="D149" s="720"/>
      <c r="E149" s="720"/>
      <c r="F149" s="720"/>
      <c r="G149" s="720"/>
      <c r="H149" s="720"/>
      <c r="I149" s="722"/>
      <c r="K149" s="56" t="s">
        <v>138</v>
      </c>
    </row>
    <row r="150" spans="1:11" ht="16.2" thickBot="1" x14ac:dyDescent="0.4">
      <c r="B150" s="714" t="s">
        <v>68</v>
      </c>
      <c r="C150" s="715"/>
      <c r="D150" s="715">
        <v>0.72</v>
      </c>
      <c r="E150" s="715"/>
      <c r="F150" s="715">
        <v>0.28000000000000003</v>
      </c>
      <c r="G150" s="715"/>
      <c r="H150" s="715">
        <v>9.9599999999999994E-2</v>
      </c>
      <c r="I150" s="716"/>
    </row>
    <row r="151" spans="1:11" ht="15" thickBot="1" x14ac:dyDescent="0.35"/>
    <row r="152" spans="1:11" ht="16.8" thickBot="1" x14ac:dyDescent="0.35">
      <c r="A152" s="1" t="s">
        <v>72</v>
      </c>
      <c r="F152" s="55">
        <v>519</v>
      </c>
      <c r="G152" s="1" t="s">
        <v>74</v>
      </c>
      <c r="H152" s="1" t="s">
        <v>73</v>
      </c>
      <c r="K152" s="56" t="s">
        <v>138</v>
      </c>
    </row>
    <row r="153" spans="1:11" ht="16.2" x14ac:dyDescent="0.3">
      <c r="A153" s="1" t="s">
        <v>123</v>
      </c>
    </row>
    <row r="154" spans="1:11" ht="15" thickBot="1" x14ac:dyDescent="0.35"/>
    <row r="155" spans="1:11" ht="16.8" thickBot="1" x14ac:dyDescent="0.35">
      <c r="A155" s="47" t="s">
        <v>120</v>
      </c>
      <c r="F155" s="55">
        <v>40</v>
      </c>
      <c r="G155" s="1" t="s">
        <v>119</v>
      </c>
      <c r="K155" s="56" t="s">
        <v>138</v>
      </c>
    </row>
  </sheetData>
  <sheetProtection algorithmName="SHA-512" hashValue="7CBv0WWNcPWL1XmgaKIrjU4rTW+Av9Ea8NH4IUIUwOA0DWHblHwujHqgmYUGu2jPLbh0KoHXKAhSuowBvrtevQ==" saltValue="I4mdJdz/U/aSJ21rliUlXQ==" spinCount="100000" sheet="1" objects="1" scenarios="1"/>
  <mergeCells count="277">
    <mergeCell ref="C11:E12"/>
    <mergeCell ref="C10:E10"/>
    <mergeCell ref="J13:K13"/>
    <mergeCell ref="J18:K18"/>
    <mergeCell ref="F16:G16"/>
    <mergeCell ref="F17:G17"/>
    <mergeCell ref="H13:I13"/>
    <mergeCell ref="F14:G14"/>
    <mergeCell ref="H14:I14"/>
    <mergeCell ref="F18:G18"/>
    <mergeCell ref="F10:K10"/>
    <mergeCell ref="F11:G12"/>
    <mergeCell ref="H11:I12"/>
    <mergeCell ref="J11:K12"/>
    <mergeCell ref="F15:G15"/>
    <mergeCell ref="C14:E14"/>
    <mergeCell ref="H15:I15"/>
    <mergeCell ref="H16:I16"/>
    <mergeCell ref="H17:I17"/>
    <mergeCell ref="H18:I18"/>
    <mergeCell ref="C16:E16"/>
    <mergeCell ref="C17:E17"/>
    <mergeCell ref="C13:E13"/>
    <mergeCell ref="J14:K14"/>
    <mergeCell ref="C18:E18"/>
    <mergeCell ref="C19:E19"/>
    <mergeCell ref="J21:K21"/>
    <mergeCell ref="J15:K15"/>
    <mergeCell ref="J16:K16"/>
    <mergeCell ref="J17:K17"/>
    <mergeCell ref="F13:G13"/>
    <mergeCell ref="C15:E15"/>
    <mergeCell ref="H19:I19"/>
    <mergeCell ref="J22:K22"/>
    <mergeCell ref="J23:K23"/>
    <mergeCell ref="C20:E20"/>
    <mergeCell ref="C21:E21"/>
    <mergeCell ref="C22:E22"/>
    <mergeCell ref="C23:E23"/>
    <mergeCell ref="F19:G19"/>
    <mergeCell ref="J20:K20"/>
    <mergeCell ref="F21:G21"/>
    <mergeCell ref="F22:G22"/>
    <mergeCell ref="F23:G23"/>
    <mergeCell ref="H20:I20"/>
    <mergeCell ref="F20:G20"/>
    <mergeCell ref="J19:K19"/>
    <mergeCell ref="H21:I21"/>
    <mergeCell ref="H22:I22"/>
    <mergeCell ref="H23:I23"/>
    <mergeCell ref="C35:E35"/>
    <mergeCell ref="F35:G35"/>
    <mergeCell ref="F31:G31"/>
    <mergeCell ref="H31:I31"/>
    <mergeCell ref="J31:K31"/>
    <mergeCell ref="F32:G32"/>
    <mergeCell ref="H32:I32"/>
    <mergeCell ref="J32:K32"/>
    <mergeCell ref="J25:K25"/>
    <mergeCell ref="H25:I25"/>
    <mergeCell ref="F30:G30"/>
    <mergeCell ref="F25:G25"/>
    <mergeCell ref="F28:G29"/>
    <mergeCell ref="H30:I30"/>
    <mergeCell ref="J33:K33"/>
    <mergeCell ref="H33:I33"/>
    <mergeCell ref="C30:E30"/>
    <mergeCell ref="C24:E24"/>
    <mergeCell ref="C28:E29"/>
    <mergeCell ref="C25:E25"/>
    <mergeCell ref="C27:E27"/>
    <mergeCell ref="F34:G34"/>
    <mergeCell ref="H34:I34"/>
    <mergeCell ref="J34:K34"/>
    <mergeCell ref="F24:G24"/>
    <mergeCell ref="H24:I24"/>
    <mergeCell ref="C38:E38"/>
    <mergeCell ref="F38:G38"/>
    <mergeCell ref="H38:I38"/>
    <mergeCell ref="J38:K38"/>
    <mergeCell ref="C37:E37"/>
    <mergeCell ref="F27:K27"/>
    <mergeCell ref="H28:I29"/>
    <mergeCell ref="J28:K29"/>
    <mergeCell ref="J24:K24"/>
    <mergeCell ref="C36:E36"/>
    <mergeCell ref="F36:G36"/>
    <mergeCell ref="H36:I36"/>
    <mergeCell ref="J36:K36"/>
    <mergeCell ref="C31:E31"/>
    <mergeCell ref="C33:E33"/>
    <mergeCell ref="C34:E34"/>
    <mergeCell ref="C32:E32"/>
    <mergeCell ref="H35:I35"/>
    <mergeCell ref="J35:K35"/>
    <mergeCell ref="J30:K30"/>
    <mergeCell ref="F37:G37"/>
    <mergeCell ref="H37:I37"/>
    <mergeCell ref="J37:K37"/>
    <mergeCell ref="F33:G33"/>
    <mergeCell ref="J53:K53"/>
    <mergeCell ref="C54:E54"/>
    <mergeCell ref="F54:G54"/>
    <mergeCell ref="H54:I54"/>
    <mergeCell ref="J54:K54"/>
    <mergeCell ref="C51:E51"/>
    <mergeCell ref="C48:E48"/>
    <mergeCell ref="F48:G48"/>
    <mergeCell ref="H48:I48"/>
    <mergeCell ref="J48:K48"/>
    <mergeCell ref="J51:K51"/>
    <mergeCell ref="H50:I50"/>
    <mergeCell ref="J50:K50"/>
    <mergeCell ref="F49:G49"/>
    <mergeCell ref="H49:I49"/>
    <mergeCell ref="C52:E52"/>
    <mergeCell ref="F52:G52"/>
    <mergeCell ref="H52:I52"/>
    <mergeCell ref="J52:K52"/>
    <mergeCell ref="C49:E49"/>
    <mergeCell ref="F50:G50"/>
    <mergeCell ref="J49:K49"/>
    <mergeCell ref="J67:K67"/>
    <mergeCell ref="C66:E66"/>
    <mergeCell ref="C64:E64"/>
    <mergeCell ref="F64:G64"/>
    <mergeCell ref="H64:I64"/>
    <mergeCell ref="J64:K64"/>
    <mergeCell ref="C65:E65"/>
    <mergeCell ref="F65:G65"/>
    <mergeCell ref="H65:I65"/>
    <mergeCell ref="J65:K65"/>
    <mergeCell ref="J66:K66"/>
    <mergeCell ref="J59:K59"/>
    <mergeCell ref="F61:K61"/>
    <mergeCell ref="F62:G63"/>
    <mergeCell ref="H62:I63"/>
    <mergeCell ref="C59:E59"/>
    <mergeCell ref="J62:K63"/>
    <mergeCell ref="C61:E61"/>
    <mergeCell ref="C62:E63"/>
    <mergeCell ref="H55:I55"/>
    <mergeCell ref="J57:K57"/>
    <mergeCell ref="C58:E58"/>
    <mergeCell ref="F58:G58"/>
    <mergeCell ref="H58:I58"/>
    <mergeCell ref="J58:K58"/>
    <mergeCell ref="J55:K55"/>
    <mergeCell ref="C56:E56"/>
    <mergeCell ref="F56:G56"/>
    <mergeCell ref="H56:I56"/>
    <mergeCell ref="J56:K56"/>
    <mergeCell ref="C71:E71"/>
    <mergeCell ref="F71:G71"/>
    <mergeCell ref="F51:G51"/>
    <mergeCell ref="H51:I51"/>
    <mergeCell ref="C47:E47"/>
    <mergeCell ref="F47:G47"/>
    <mergeCell ref="C57:E57"/>
    <mergeCell ref="F57:G57"/>
    <mergeCell ref="H57:I57"/>
    <mergeCell ref="C50:E50"/>
    <mergeCell ref="C53:E53"/>
    <mergeCell ref="F53:G53"/>
    <mergeCell ref="H53:I53"/>
    <mergeCell ref="H47:I47"/>
    <mergeCell ref="C55:E55"/>
    <mergeCell ref="F55:G55"/>
    <mergeCell ref="H67:I67"/>
    <mergeCell ref="F68:G68"/>
    <mergeCell ref="H68:I68"/>
    <mergeCell ref="F59:G59"/>
    <mergeCell ref="H59:I59"/>
    <mergeCell ref="F69:G69"/>
    <mergeCell ref="H69:I69"/>
    <mergeCell ref="H70:I70"/>
    <mergeCell ref="C70:E70"/>
    <mergeCell ref="F70:G70"/>
    <mergeCell ref="F44:K44"/>
    <mergeCell ref="F45:G46"/>
    <mergeCell ref="H45:I46"/>
    <mergeCell ref="J45:K46"/>
    <mergeCell ref="C39:E39"/>
    <mergeCell ref="F39:G39"/>
    <mergeCell ref="H39:I39"/>
    <mergeCell ref="J39:K39"/>
    <mergeCell ref="C42:E42"/>
    <mergeCell ref="F42:G42"/>
    <mergeCell ref="H42:I42"/>
    <mergeCell ref="J42:K42"/>
    <mergeCell ref="C44:E44"/>
    <mergeCell ref="C45:E46"/>
    <mergeCell ref="C41:E41"/>
    <mergeCell ref="F41:G41"/>
    <mergeCell ref="H41:I41"/>
    <mergeCell ref="J41:K41"/>
    <mergeCell ref="C40:E40"/>
    <mergeCell ref="F40:G40"/>
    <mergeCell ref="H40:I40"/>
    <mergeCell ref="J40:K40"/>
    <mergeCell ref="J47:K47"/>
    <mergeCell ref="J68:K68"/>
    <mergeCell ref="C69:E69"/>
    <mergeCell ref="C72:E72"/>
    <mergeCell ref="F72:G72"/>
    <mergeCell ref="H72:I72"/>
    <mergeCell ref="G81:H81"/>
    <mergeCell ref="C76:E76"/>
    <mergeCell ref="F76:G76"/>
    <mergeCell ref="H76:I76"/>
    <mergeCell ref="C73:E73"/>
    <mergeCell ref="F73:G73"/>
    <mergeCell ref="H73:I73"/>
    <mergeCell ref="J69:K69"/>
    <mergeCell ref="C68:E68"/>
    <mergeCell ref="J72:K72"/>
    <mergeCell ref="J73:K73"/>
    <mergeCell ref="J70:K70"/>
    <mergeCell ref="J71:K71"/>
    <mergeCell ref="H71:I71"/>
    <mergeCell ref="F66:G66"/>
    <mergeCell ref="H66:I66"/>
    <mergeCell ref="C67:E67"/>
    <mergeCell ref="F67:G67"/>
    <mergeCell ref="C83:D83"/>
    <mergeCell ref="C84:D84"/>
    <mergeCell ref="C85:D85"/>
    <mergeCell ref="J76:K76"/>
    <mergeCell ref="J74:K74"/>
    <mergeCell ref="C75:E75"/>
    <mergeCell ref="F75:G75"/>
    <mergeCell ref="H75:I75"/>
    <mergeCell ref="J75:K75"/>
    <mergeCell ref="E80:H80"/>
    <mergeCell ref="C80:D82"/>
    <mergeCell ref="E81:F81"/>
    <mergeCell ref="C74:E74"/>
    <mergeCell ref="F74:G74"/>
    <mergeCell ref="J80:M80"/>
    <mergeCell ref="J81:K81"/>
    <mergeCell ref="L81:M81"/>
    <mergeCell ref="H74:I74"/>
    <mergeCell ref="G97:H97"/>
    <mergeCell ref="G98:H98"/>
    <mergeCell ref="H125:I125"/>
    <mergeCell ref="F123:G124"/>
    <mergeCell ref="C86:D86"/>
    <mergeCell ref="C92:D94"/>
    <mergeCell ref="E92:H92"/>
    <mergeCell ref="E93:F93"/>
    <mergeCell ref="G93:H93"/>
    <mergeCell ref="E94:F94"/>
    <mergeCell ref="G94:H94"/>
    <mergeCell ref="G95:H95"/>
    <mergeCell ref="C95:D95"/>
    <mergeCell ref="E95:F95"/>
    <mergeCell ref="C96:D96"/>
    <mergeCell ref="C97:D97"/>
    <mergeCell ref="C98:D98"/>
    <mergeCell ref="E96:F96"/>
    <mergeCell ref="E97:F97"/>
    <mergeCell ref="E98:F98"/>
    <mergeCell ref="G96:H96"/>
    <mergeCell ref="B150:C150"/>
    <mergeCell ref="D150:E150"/>
    <mergeCell ref="F150:G150"/>
    <mergeCell ref="H150:I150"/>
    <mergeCell ref="B123:C124"/>
    <mergeCell ref="D123:E124"/>
    <mergeCell ref="H123:I124"/>
    <mergeCell ref="B125:C125"/>
    <mergeCell ref="H148:I149"/>
    <mergeCell ref="B148:C149"/>
    <mergeCell ref="D148:E149"/>
    <mergeCell ref="F148:G149"/>
    <mergeCell ref="D125:E125"/>
    <mergeCell ref="F125:G125"/>
  </mergeCells>
  <conditionalFormatting sqref="P83:P86">
    <cfRule type="top10" dxfId="0" priority="5" stopIfTrue="1" percent="1" rank="10"/>
  </conditionalFormatting>
  <pageMargins left="0.7" right="0.7" top="0.78740157499999996" bottom="0.78740157499999996" header="0.3" footer="0.3"/>
  <pageSetup paperSize="9" orientation="portrait" r:id="rId1"/>
  <customProperties>
    <customPr name="EpmWorksheetKeyString_GUID" r:id="rId2"/>
  </customProperties>
  <ignoredErrors>
    <ignoredError sqref="A9"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1</vt:i4>
      </vt:variant>
    </vt:vector>
  </HeadingPairs>
  <TitlesOfParts>
    <vt:vector size="8" baseType="lpstr">
      <vt:lpstr>Výpočet ceny distribuce</vt:lpstr>
      <vt:lpstr>Výpočet výše měsíční kapacity C</vt:lpstr>
      <vt:lpstr>ovládací prvky</vt:lpstr>
      <vt:lpstr>Klasik, CNG, M3R, výrobce</vt:lpstr>
      <vt:lpstr>Špičkový odběr </vt:lpstr>
      <vt:lpstr>popis k nadlimitu</vt:lpstr>
      <vt:lpstr>Cenové rozhodnutí</vt:lpstr>
      <vt:lpstr>'popis k nadlimitu'!_Hlk89075508</vt:lpstr>
    </vt:vector>
  </TitlesOfParts>
  <Company>RWE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Nepovolný Tomáš</dc:creator>
  <cp:lastModifiedBy>Bernátová Alena</cp:lastModifiedBy>
  <cp:lastPrinted>2013-04-26T11:53:38Z</cp:lastPrinted>
  <dcterms:created xsi:type="dcterms:W3CDTF">2012-08-24T06:28:25Z</dcterms:created>
  <dcterms:modified xsi:type="dcterms:W3CDTF">2022-02-02T06:43:47Z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Kalkulacka_VOSO_2013_KB.xls</vt:lpwstr>
  </property>
</Properties>
</file>