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https://gasnetcz-my.sharepoint.com/personal/alena_bernatova_gasnet_cz/Documents/Plocha/PRÁCE - final/Kalkulačka - faktury/BI/web_kalkulacka/"/>
    </mc:Choice>
  </mc:AlternateContent>
  <xr:revisionPtr revIDLastSave="58" documentId="8_{69C91E0F-6AB7-4F5D-B214-7AEAB002453C}" xr6:coauthVersionLast="47" xr6:coauthVersionMax="47" xr10:uidLastSave="{6D98C9C8-EDC7-4534-A58A-C2FA806379FA}"/>
  <workbookProtection workbookAlgorithmName="SHA-512" workbookHashValue="I3BPxGh1aWx9lNbn74LeP4cDV1huu8saW83mDD/ySz7WIP7dumponKkyGb2stKbJ/vr1tW0+8FkVSCacXUsUcg==" workbookSaltValue="n7The+rdoDwGGJNgIIsXLQ==" workbookSpinCount="100000" lockStructure="1"/>
  <bookViews>
    <workbookView xWindow="-108" yWindow="-108" windowWidth="23256" windowHeight="12576" tabRatio="880" firstSheet="1" activeTab="2" xr2:uid="{00000000-000D-0000-FFFF-FFFF00000000}"/>
  </bookViews>
  <sheets>
    <sheet name="dodělat" sheetId="21" state="hidden" r:id="rId1"/>
    <sheet name="Výpočet ceny distribuce" sheetId="7" r:id="rId2"/>
    <sheet name="Výpočet výše měsíční kapacity C" sheetId="19" r:id="rId3"/>
    <sheet name="ovládací prvky" sheetId="20" state="hidden" r:id="rId4"/>
    <sheet name="Klasik, CNG, M3R, výrobce" sheetId="16" state="hidden" r:id="rId5"/>
    <sheet name="Špičkový odběr " sheetId="18" state="hidden" r:id="rId6"/>
    <sheet name="popis k nadlimitu" sheetId="17" state="hidden" r:id="rId7"/>
  </sheets>
  <definedNames>
    <definedName name="_Hlk89075508" localSheetId="6">'popis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7" l="1"/>
  <c r="H29" i="7"/>
  <c r="A50" i="7" l="1"/>
  <c r="A49" i="7"/>
  <c r="E53" i="16" l="1"/>
  <c r="H45" i="16"/>
  <c r="J50" i="16"/>
  <c r="J49" i="16"/>
  <c r="B24" i="7" l="1"/>
  <c r="J18" i="16"/>
  <c r="J19" i="16"/>
  <c r="J20" i="16"/>
  <c r="J21" i="16"/>
  <c r="J22" i="16"/>
  <c r="J23" i="16"/>
  <c r="J24" i="16"/>
  <c r="J25" i="16"/>
  <c r="J17" i="16"/>
  <c r="J16" i="16"/>
  <c r="J15" i="16"/>
  <c r="L24" i="7"/>
  <c r="L44" i="7"/>
  <c r="I17" i="7"/>
  <c r="O39" i="16"/>
  <c r="I16" i="7"/>
  <c r="P17" i="20"/>
  <c r="P18" i="20"/>
  <c r="P19" i="20"/>
  <c r="K16" i="20"/>
  <c r="K17" i="20"/>
  <c r="L14" i="20"/>
  <c r="M14" i="20" s="1"/>
  <c r="P14" i="20" s="1"/>
  <c r="L15" i="20"/>
  <c r="K19" i="20"/>
  <c r="M19" i="20" s="1"/>
  <c r="K18" i="20"/>
  <c r="M18" i="20" s="1"/>
  <c r="O37" i="16"/>
  <c r="M17" i="20" l="1"/>
  <c r="O17" i="20" s="1"/>
  <c r="M16" i="20"/>
  <c r="O18" i="20"/>
  <c r="M15" i="20"/>
  <c r="O19" i="20"/>
  <c r="O14" i="20"/>
  <c r="D34" i="20"/>
  <c r="F10" i="16"/>
  <c r="F48" i="7"/>
  <c r="L14" i="7"/>
  <c r="O16" i="20" l="1"/>
  <c r="P16" i="20"/>
  <c r="O15" i="20"/>
  <c r="K5" i="16" s="1"/>
  <c r="P15" i="20"/>
  <c r="E34" i="20"/>
  <c r="F34" i="20" s="1"/>
  <c r="G34" i="20" s="1"/>
  <c r="H34" i="20" s="1"/>
  <c r="I34" i="20" s="1"/>
  <c r="J34" i="20" s="1"/>
  <c r="K34" i="20" s="1"/>
  <c r="L34" i="20" s="1"/>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G16" i="20"/>
  <c r="H16" i="20"/>
  <c r="G19" i="20"/>
  <c r="H19" i="20"/>
  <c r="G20" i="20"/>
  <c r="H20" i="20"/>
  <c r="G21" i="20"/>
  <c r="H21" i="20"/>
  <c r="G22" i="20"/>
  <c r="H22" i="20"/>
  <c r="G24" i="20"/>
  <c r="H24" i="20"/>
  <c r="G25" i="20"/>
  <c r="H25" i="20"/>
  <c r="Q13" i="20" l="1"/>
  <c r="N11" i="7" s="1"/>
  <c r="L42" i="7"/>
  <c r="L39" i="7"/>
  <c r="L36" i="7"/>
  <c r="L33" i="7"/>
  <c r="L30" i="7"/>
  <c r="L20" i="7"/>
  <c r="L21" i="7"/>
  <c r="L22" i="7"/>
  <c r="L23" i="7"/>
  <c r="L19" i="7"/>
  <c r="I15" i="7"/>
  <c r="J12" i="16"/>
  <c r="L16" i="7"/>
  <c r="G7" i="20"/>
  <c r="O38" i="16" l="1"/>
  <c r="F33" i="16"/>
  <c r="J37" i="16"/>
  <c r="J13" i="16"/>
  <c r="H37" i="16" l="1"/>
  <c r="F29" i="16" s="1"/>
  <c r="L47" i="7"/>
  <c r="H11" i="16"/>
  <c r="B7" i="19" l="1"/>
  <c r="G9" i="19" s="1"/>
  <c r="H10" i="16" l="1"/>
  <c r="J14" i="16" l="1"/>
  <c r="K15" i="16" s="1"/>
  <c r="A13" i="20" l="1"/>
  <c r="J13" i="18"/>
  <c r="J60" i="16"/>
  <c r="L5" i="16"/>
  <c r="L4" i="16"/>
  <c r="D19" i="20" l="1"/>
  <c r="D22" i="20"/>
  <c r="D20" i="20"/>
  <c r="D14" i="20"/>
  <c r="D18" i="20"/>
  <c r="D25" i="20"/>
  <c r="D17" i="20"/>
  <c r="D24" i="20"/>
  <c r="D16" i="20"/>
  <c r="D21" i="20"/>
  <c r="D23" i="20"/>
  <c r="D15" i="20"/>
  <c r="K8" i="18"/>
  <c r="D35" i="20" l="1"/>
  <c r="D36" i="20" s="1"/>
  <c r="F49" i="20"/>
  <c r="E7" i="7" s="1"/>
  <c r="F5" i="16"/>
  <c r="E35" i="20" l="1"/>
  <c r="F35" i="20" s="1"/>
  <c r="D37" i="20"/>
  <c r="E36" i="20"/>
  <c r="F36" i="20" s="1"/>
  <c r="G36" i="20" s="1"/>
  <c r="H36" i="20" s="1"/>
  <c r="I36" i="20" s="1"/>
  <c r="J36" i="20" s="1"/>
  <c r="K36" i="20" s="1"/>
  <c r="L36" i="20" s="1"/>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F19" i="16"/>
  <c r="F18" i="16"/>
  <c r="L60" i="16"/>
  <c r="F14" i="20" s="1"/>
  <c r="H14" i="20" s="1"/>
  <c r="D9" i="18"/>
  <c r="K11" i="18"/>
  <c r="K10" i="18" s="1"/>
  <c r="D38" i="20" l="1"/>
  <c r="E37" i="20"/>
  <c r="F37" i="20" s="1"/>
  <c r="G37" i="20" s="1"/>
  <c r="H37" i="20" s="1"/>
  <c r="I37" i="20" s="1"/>
  <c r="J37" i="20" s="1"/>
  <c r="K37" i="20" s="1"/>
  <c r="L37" i="20" s="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G35" i="20"/>
  <c r="I5" i="18"/>
  <c r="I4" i="18"/>
  <c r="H5" i="18"/>
  <c r="H4" i="18"/>
  <c r="G5" i="18"/>
  <c r="G4" i="18"/>
  <c r="F5" i="18"/>
  <c r="F4" i="18"/>
  <c r="A16" i="18"/>
  <c r="A17" i="18"/>
  <c r="A18" i="18"/>
  <c r="A15" i="18"/>
  <c r="P19" i="18"/>
  <c r="O19" i="18"/>
  <c r="H35" i="20" l="1"/>
  <c r="D39" i="20"/>
  <c r="E38" i="20"/>
  <c r="F38" i="20" s="1"/>
  <c r="G38" i="20" s="1"/>
  <c r="H38" i="20" s="1"/>
  <c r="I38" i="20" s="1"/>
  <c r="J38" i="20" s="1"/>
  <c r="K38" i="20" s="1"/>
  <c r="L38" i="20" s="1"/>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19" i="18"/>
  <c r="G19" i="18" s="1"/>
  <c r="D40" i="20" l="1"/>
  <c r="E39" i="20"/>
  <c r="F39" i="20" s="1"/>
  <c r="G39" i="20" s="1"/>
  <c r="H39" i="20" s="1"/>
  <c r="I39" i="20" s="1"/>
  <c r="J39" i="20" s="1"/>
  <c r="K39" i="20" s="1"/>
  <c r="L39" i="20" s="1"/>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I35" i="20"/>
  <c r="H5" i="16"/>
  <c r="W30" i="16" s="1"/>
  <c r="F6" i="16"/>
  <c r="J35" i="20" l="1"/>
  <c r="D41" i="20"/>
  <c r="E40" i="20"/>
  <c r="F40" i="20" s="1"/>
  <c r="G40" i="20" s="1"/>
  <c r="H40" i="20" s="1"/>
  <c r="I40" i="20" s="1"/>
  <c r="J40" i="20" s="1"/>
  <c r="K40" i="20" s="1"/>
  <c r="L40" i="20" s="1"/>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J5" i="16"/>
  <c r="M4" i="16"/>
  <c r="F11" i="18"/>
  <c r="D11" i="18" s="1"/>
  <c r="G10" i="18"/>
  <c r="F10" i="18"/>
  <c r="E8" i="18"/>
  <c r="G11" i="19"/>
  <c r="P21" i="19"/>
  <c r="P22" i="19" s="1"/>
  <c r="G18" i="18"/>
  <c r="G17" i="18"/>
  <c r="G16" i="18"/>
  <c r="G15" i="18"/>
  <c r="L8" i="18"/>
  <c r="D42" i="20" l="1"/>
  <c r="E41" i="20"/>
  <c r="F41" i="20" s="1"/>
  <c r="G41" i="20" s="1"/>
  <c r="H41" i="20" s="1"/>
  <c r="I41" i="20" s="1"/>
  <c r="J41" i="20" s="1"/>
  <c r="K41" i="20" s="1"/>
  <c r="L41" i="20" s="1"/>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K35" i="20"/>
  <c r="H10" i="18"/>
  <c r="D10" i="18" s="1"/>
  <c r="G20" i="19"/>
  <c r="O20" i="19" s="1"/>
  <c r="K6" i="18"/>
  <c r="K7" i="18"/>
  <c r="K9" i="18" s="1"/>
  <c r="E10" i="18"/>
  <c r="E16" i="18" s="1"/>
  <c r="C9"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L35" i="20" l="1"/>
  <c r="D43" i="20"/>
  <c r="B34" i="20" s="1"/>
  <c r="D50" i="20" s="1"/>
  <c r="F7" i="16" s="1"/>
  <c r="E42" i="20"/>
  <c r="F42" i="20" s="1"/>
  <c r="G42" i="20" s="1"/>
  <c r="H42" i="20" s="1"/>
  <c r="I42" i="20" s="1"/>
  <c r="J42" i="20" s="1"/>
  <c r="K42" i="20" s="1"/>
  <c r="L42" i="20" s="1"/>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I9" i="19"/>
  <c r="J9" i="19" s="1"/>
  <c r="J22" i="19" s="1"/>
  <c r="F9" i="19"/>
  <c r="N9" i="19" s="1"/>
  <c r="E18" i="18"/>
  <c r="K18" i="18" s="1"/>
  <c r="D15" i="18"/>
  <c r="F15" i="18" s="1"/>
  <c r="D17" i="18"/>
  <c r="F17" i="18" s="1"/>
  <c r="D16" i="18"/>
  <c r="D18" i="18"/>
  <c r="F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F12" i="19"/>
  <c r="N12" i="19" s="1"/>
  <c r="O12" i="19"/>
  <c r="O10" i="19"/>
  <c r="F10" i="19"/>
  <c r="N10" i="19" s="1"/>
  <c r="F20" i="19"/>
  <c r="N20" i="19" s="1"/>
  <c r="D44" i="20" l="1"/>
  <c r="E43" i="20"/>
  <c r="M35" i="20"/>
  <c r="E19" i="18"/>
  <c r="J66" i="7" s="1"/>
  <c r="K15" i="18"/>
  <c r="F16" i="18"/>
  <c r="D19" i="18"/>
  <c r="F43" i="20" l="1"/>
  <c r="B35" i="20"/>
  <c r="N35" i="20"/>
  <c r="D45" i="20"/>
  <c r="E45" i="20" s="1"/>
  <c r="F45" i="20" s="1"/>
  <c r="G45" i="20" s="1"/>
  <c r="H45" i="20" s="1"/>
  <c r="I45" i="20" s="1"/>
  <c r="J45" i="20" s="1"/>
  <c r="K45" i="20" s="1"/>
  <c r="L45" i="20" s="1"/>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E44" i="20"/>
  <c r="F44" i="20" s="1"/>
  <c r="G44" i="20" s="1"/>
  <c r="H44" i="20" s="1"/>
  <c r="I44" i="20" s="1"/>
  <c r="J44" i="20" s="1"/>
  <c r="K44" i="20" s="1"/>
  <c r="L44" i="20" s="1"/>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K19" i="18"/>
  <c r="K66" i="7" s="1"/>
  <c r="F72" i="7" s="1"/>
  <c r="F19" i="18"/>
  <c r="G43" i="20" l="1"/>
  <c r="B36" i="20"/>
  <c r="O35" i="20"/>
  <c r="H43" i="20" l="1"/>
  <c r="B37" i="20"/>
  <c r="P35" i="20"/>
  <c r="I43" i="20" l="1"/>
  <c r="B38" i="20"/>
  <c r="Q35" i="20"/>
  <c r="J43" i="20" l="1"/>
  <c r="B39" i="20"/>
  <c r="R35" i="20"/>
  <c r="O30" i="16"/>
  <c r="O29" i="16"/>
  <c r="O28" i="16"/>
  <c r="O27" i="16"/>
  <c r="O26" i="16"/>
  <c r="V26" i="16" s="1"/>
  <c r="N26" i="16"/>
  <c r="N27" i="16"/>
  <c r="K43" i="20" l="1"/>
  <c r="B40" i="20"/>
  <c r="S35" i="20"/>
  <c r="F78" i="16"/>
  <c r="E78" i="16"/>
  <c r="L43" i="20" l="1"/>
  <c r="B41" i="20"/>
  <c r="T35" i="20"/>
  <c r="F76" i="16"/>
  <c r="E76" i="16"/>
  <c r="M43" i="20" l="1"/>
  <c r="B42" i="20"/>
  <c r="U35" i="20"/>
  <c r="N30" i="16"/>
  <c r="N29" i="16"/>
  <c r="N28" i="16"/>
  <c r="J30" i="16"/>
  <c r="J29" i="16"/>
  <c r="J28" i="16"/>
  <c r="J27" i="16"/>
  <c r="J26" i="16"/>
  <c r="H26" i="16" s="1"/>
  <c r="J11" i="16"/>
  <c r="I78" i="16" l="1"/>
  <c r="H78" i="16"/>
  <c r="G78" i="16"/>
  <c r="N43" i="20"/>
  <c r="B43" i="20"/>
  <c r="V35" i="20"/>
  <c r="G76" i="16"/>
  <c r="H76" i="16"/>
  <c r="I76" i="16"/>
  <c r="J71" i="16"/>
  <c r="F71" i="16"/>
  <c r="J70" i="16"/>
  <c r="F70" i="16"/>
  <c r="J69" i="16"/>
  <c r="L69" i="16" s="1"/>
  <c r="F23" i="20" s="1"/>
  <c r="H23" i="20" s="1"/>
  <c r="F69" i="16"/>
  <c r="J68" i="16"/>
  <c r="L68" i="16" s="1"/>
  <c r="F22" i="20" s="1"/>
  <c r="F68" i="16"/>
  <c r="J67" i="16"/>
  <c r="F67" i="16"/>
  <c r="J66" i="16"/>
  <c r="F66" i="16"/>
  <c r="J65" i="16"/>
  <c r="L65" i="16" s="1"/>
  <c r="F19" i="20" s="1"/>
  <c r="F65" i="16"/>
  <c r="J64" i="16"/>
  <c r="F64" i="16"/>
  <c r="J63" i="16"/>
  <c r="L63" i="16" s="1"/>
  <c r="F17" i="20" s="1"/>
  <c r="H17" i="20" s="1"/>
  <c r="F63" i="16"/>
  <c r="J62" i="16"/>
  <c r="F62" i="16"/>
  <c r="J61" i="16"/>
  <c r="L61" i="16" s="1"/>
  <c r="F15" i="20" s="1"/>
  <c r="H15" i="20" s="1"/>
  <c r="F61" i="16"/>
  <c r="F60" i="16"/>
  <c r="J59" i="16"/>
  <c r="E54" i="16"/>
  <c r="L37" i="16" s="1"/>
  <c r="F53" i="16"/>
  <c r="D6" i="18" s="1"/>
  <c r="F51" i="16"/>
  <c r="K50" i="16"/>
  <c r="F50" i="16"/>
  <c r="K49" i="16"/>
  <c r="F49" i="16"/>
  <c r="K48" i="16"/>
  <c r="F48" i="16"/>
  <c r="K47" i="16"/>
  <c r="F47" i="16"/>
  <c r="M46" i="16"/>
  <c r="K46" i="16"/>
  <c r="H46" i="16"/>
  <c r="F46" i="16"/>
  <c r="D5" i="18" s="1"/>
  <c r="H17" i="18" s="1"/>
  <c r="I17" i="18" s="1"/>
  <c r="M45" i="16"/>
  <c r="K45" i="16"/>
  <c r="F45" i="16"/>
  <c r="F34" i="16"/>
  <c r="P31" i="16"/>
  <c r="H30" i="16"/>
  <c r="H29" i="16"/>
  <c r="H28" i="16"/>
  <c r="H27" i="16"/>
  <c r="P19" i="16"/>
  <c r="G19" i="16"/>
  <c r="P18" i="16"/>
  <c r="B18" i="16"/>
  <c r="B19" i="16" s="1"/>
  <c r="B20" i="16" s="1"/>
  <c r="H15" i="16"/>
  <c r="H13" i="16"/>
  <c r="H12" i="16"/>
  <c r="J32" i="16"/>
  <c r="I18" i="7"/>
  <c r="F69" i="7"/>
  <c r="E4" i="18" l="1"/>
  <c r="H16" i="18" s="1"/>
  <c r="AD11" i="16"/>
  <c r="AE11" i="16" s="1"/>
  <c r="E5" i="18"/>
  <c r="H18" i="18" s="1"/>
  <c r="I18" i="18" s="1"/>
  <c r="AJ11" i="16"/>
  <c r="AK11" i="16" s="1"/>
  <c r="L38" i="16"/>
  <c r="D4" i="18"/>
  <c r="H15" i="18" s="1"/>
  <c r="I15" i="18" s="1"/>
  <c r="L15" i="18" s="1"/>
  <c r="M15" i="18" s="1"/>
  <c r="AA11" i="16"/>
  <c r="AB11" i="16" s="1"/>
  <c r="J18" i="18"/>
  <c r="K69" i="7" s="1"/>
  <c r="J15" i="18"/>
  <c r="J16" i="18"/>
  <c r="J19" i="18" s="1"/>
  <c r="J69" i="7"/>
  <c r="J17" i="18"/>
  <c r="L17" i="18" s="1"/>
  <c r="M17" i="18" s="1"/>
  <c r="O43" i="20"/>
  <c r="B44" i="20"/>
  <c r="F36" i="16"/>
  <c r="J38" i="16" s="1"/>
  <c r="C5" i="7"/>
  <c r="K61" i="16"/>
  <c r="E15" i="20" s="1"/>
  <c r="G15" i="20" s="1"/>
  <c r="W35" i="20"/>
  <c r="AF35" i="20"/>
  <c r="K64" i="16"/>
  <c r="E18" i="20" s="1"/>
  <c r="G18" i="20" s="1"/>
  <c r="L64" i="16"/>
  <c r="F18" i="20" s="1"/>
  <c r="H18" i="20" s="1"/>
  <c r="K62" i="16"/>
  <c r="E16" i="20" s="1"/>
  <c r="L62" i="16"/>
  <c r="F16" i="20" s="1"/>
  <c r="K70" i="16"/>
  <c r="E24" i="20" s="1"/>
  <c r="L70" i="16"/>
  <c r="F24" i="20" s="1"/>
  <c r="K67" i="16"/>
  <c r="E21" i="20" s="1"/>
  <c r="L67" i="16"/>
  <c r="F21" i="20" s="1"/>
  <c r="K71" i="16"/>
  <c r="E25" i="20" s="1"/>
  <c r="L71" i="16"/>
  <c r="F25" i="20" s="1"/>
  <c r="I77" i="16"/>
  <c r="K60" i="16"/>
  <c r="K66" i="16"/>
  <c r="E20" i="20" s="1"/>
  <c r="L66" i="16"/>
  <c r="F20" i="20" s="1"/>
  <c r="AG32" i="16"/>
  <c r="AJ32" i="16"/>
  <c r="AK32" i="16" s="1"/>
  <c r="AD32" i="16"/>
  <c r="AE32" i="16" s="1"/>
  <c r="AA32" i="16"/>
  <c r="AB32" i="16" s="1"/>
  <c r="X32" i="16"/>
  <c r="J48" i="7" s="1"/>
  <c r="K68" i="16"/>
  <c r="E22" i="20" s="1"/>
  <c r="G77" i="16"/>
  <c r="K65" i="16"/>
  <c r="E19" i="20" s="1"/>
  <c r="K69" i="16"/>
  <c r="E23" i="20" s="1"/>
  <c r="G23" i="20" s="1"/>
  <c r="K63" i="16"/>
  <c r="E17" i="20" s="1"/>
  <c r="G17" i="20" s="1"/>
  <c r="F77" i="16"/>
  <c r="E77" i="16"/>
  <c r="H77" i="16"/>
  <c r="AH32" i="16"/>
  <c r="AG11" i="16"/>
  <c r="AH11" i="16" s="1"/>
  <c r="F30" i="16"/>
  <c r="F31" i="16" s="1"/>
  <c r="F32" i="16" s="1"/>
  <c r="P20" i="16"/>
  <c r="P29" i="16"/>
  <c r="K38" i="16"/>
  <c r="P21" i="16"/>
  <c r="P26" i="16"/>
  <c r="F52" i="7" s="1"/>
  <c r="F8" i="16"/>
  <c r="P16" i="16"/>
  <c r="P22" i="16"/>
  <c r="P23" i="16"/>
  <c r="P24" i="16"/>
  <c r="P25" i="16"/>
  <c r="F72" i="16"/>
  <c r="P17" i="16"/>
  <c r="P27" i="16"/>
  <c r="P30" i="16"/>
  <c r="F14" i="16"/>
  <c r="F20" i="16" s="1"/>
  <c r="P28" i="16"/>
  <c r="E14" i="20" l="1"/>
  <c r="G14" i="20" s="1"/>
  <c r="N76" i="16"/>
  <c r="P43" i="20"/>
  <c r="B45" i="20"/>
  <c r="L18" i="18"/>
  <c r="M18" i="18" s="1"/>
  <c r="H19" i="18"/>
  <c r="J65" i="7" s="1"/>
  <c r="I16" i="18"/>
  <c r="X35" i="20"/>
  <c r="F35" i="16"/>
  <c r="F51" i="7"/>
  <c r="Y32" i="16"/>
  <c r="K48" i="7" s="1"/>
  <c r="G81" i="16"/>
  <c r="G79" i="16" s="1"/>
  <c r="Y11" i="16"/>
  <c r="N16" i="16"/>
  <c r="N21" i="16"/>
  <c r="N22" i="16"/>
  <c r="F81" i="16"/>
  <c r="F79" i="16" s="1"/>
  <c r="N19" i="16"/>
  <c r="N24" i="16"/>
  <c r="E81" i="16"/>
  <c r="E80" i="16" s="1"/>
  <c r="N20" i="16"/>
  <c r="I81" i="16"/>
  <c r="I79" i="16" s="1"/>
  <c r="N25" i="16"/>
  <c r="N18" i="16"/>
  <c r="N23" i="16"/>
  <c r="H81" i="16"/>
  <c r="H79" i="16" s="1"/>
  <c r="N17" i="16"/>
  <c r="X11" i="16"/>
  <c r="J14" i="7" s="1"/>
  <c r="M38" i="16"/>
  <c r="F15" i="16"/>
  <c r="F16" i="16" s="1"/>
  <c r="F17" i="16" s="1"/>
  <c r="K14" i="7" l="1"/>
  <c r="K9" i="7" s="1"/>
  <c r="AM11" i="16"/>
  <c r="L16" i="18"/>
  <c r="I19" i="18"/>
  <c r="K65" i="7" s="1"/>
  <c r="K68" i="7" s="1"/>
  <c r="K70" i="7" s="1"/>
  <c r="Q43" i="20"/>
  <c r="B46" i="20"/>
  <c r="Y35" i="20"/>
  <c r="AM32" i="16"/>
  <c r="E79" i="16"/>
  <c r="H80" i="16"/>
  <c r="G80" i="16"/>
  <c r="I80" i="16"/>
  <c r="F80" i="16"/>
  <c r="W29" i="16"/>
  <c r="W26" i="16"/>
  <c r="W27" i="16"/>
  <c r="W28" i="16"/>
  <c r="F22" i="16"/>
  <c r="F21" i="16"/>
  <c r="R43" i="20" l="1"/>
  <c r="B47" i="20"/>
  <c r="M16" i="18"/>
  <c r="M19" i="18" s="1"/>
  <c r="L19" i="18"/>
  <c r="F44" i="7"/>
  <c r="Z35" i="20"/>
  <c r="S43" i="20" l="1"/>
  <c r="B48" i="20"/>
  <c r="AA35" i="20"/>
  <c r="D26" i="20"/>
  <c r="T43" i="20" l="1"/>
  <c r="B49" i="20"/>
  <c r="AB35" i="20"/>
  <c r="H14" i="16"/>
  <c r="H16" i="16" s="1"/>
  <c r="K21" i="16"/>
  <c r="L21" i="16" s="1"/>
  <c r="L15" i="16"/>
  <c r="K24" i="16"/>
  <c r="L24" i="16" s="1"/>
  <c r="K22" i="16"/>
  <c r="L22" i="16" s="1"/>
  <c r="K23" i="16"/>
  <c r="L23" i="16" s="1"/>
  <c r="K25" i="16"/>
  <c r="L25" i="16" s="1"/>
  <c r="K17" i="16"/>
  <c r="L17" i="16" s="1"/>
  <c r="K19" i="16"/>
  <c r="L19" i="16" s="1"/>
  <c r="K18" i="16"/>
  <c r="L18" i="16" s="1"/>
  <c r="K16" i="16"/>
  <c r="L16" i="16" s="1"/>
  <c r="K20" i="16"/>
  <c r="L20" i="16" s="1"/>
  <c r="K31" i="16"/>
  <c r="K12" i="16"/>
  <c r="K13" i="16"/>
  <c r="C23" i="7" l="1"/>
  <c r="AA20" i="16"/>
  <c r="AG20" i="16"/>
  <c r="AD20" i="16"/>
  <c r="AJ20" i="16"/>
  <c r="AJ22" i="16"/>
  <c r="AD22" i="16"/>
  <c r="AA22" i="16"/>
  <c r="AG22" i="16"/>
  <c r="AJ24" i="16"/>
  <c r="AA24" i="16"/>
  <c r="AG24" i="16"/>
  <c r="AD24" i="16"/>
  <c r="AD21" i="16"/>
  <c r="AA21" i="16"/>
  <c r="AG21" i="16"/>
  <c r="AJ21" i="16"/>
  <c r="C21" i="7"/>
  <c r="AG18" i="16"/>
  <c r="AA18" i="16"/>
  <c r="AJ18" i="16"/>
  <c r="AD18" i="16"/>
  <c r="C17" i="7"/>
  <c r="AG15" i="16"/>
  <c r="AA15" i="16"/>
  <c r="AD15" i="16"/>
  <c r="AJ15" i="16"/>
  <c r="AG17" i="16"/>
  <c r="AA17" i="16"/>
  <c r="AD17" i="16"/>
  <c r="AJ17" i="16"/>
  <c r="AA16" i="16"/>
  <c r="AG16" i="16"/>
  <c r="AD16" i="16"/>
  <c r="AJ16" i="16"/>
  <c r="C22" i="7"/>
  <c r="AG19" i="16"/>
  <c r="AJ19" i="16"/>
  <c r="AA19" i="16"/>
  <c r="AD19" i="16"/>
  <c r="C28" i="7"/>
  <c r="AA25" i="16"/>
  <c r="AG25" i="16"/>
  <c r="AJ25" i="16"/>
  <c r="AD25" i="16"/>
  <c r="C26" i="7"/>
  <c r="AJ23" i="16"/>
  <c r="AD23" i="16"/>
  <c r="AG23" i="16"/>
  <c r="AA23" i="16"/>
  <c r="U43" i="20"/>
  <c r="B50" i="20"/>
  <c r="L13" i="16"/>
  <c r="C16" i="7" s="1"/>
  <c r="P45" i="16"/>
  <c r="C25" i="7"/>
  <c r="C27" i="7"/>
  <c r="C19" i="7"/>
  <c r="C24" i="7"/>
  <c r="C20" i="7"/>
  <c r="AC35" i="20"/>
  <c r="K14" i="16"/>
  <c r="L14" i="16" s="1"/>
  <c r="M31" i="16"/>
  <c r="C44" i="7" s="1"/>
  <c r="L12" i="16"/>
  <c r="C15" i="7" l="1"/>
  <c r="AG12" i="16"/>
  <c r="AA12" i="16"/>
  <c r="AD12" i="16"/>
  <c r="AD14" i="16" s="1"/>
  <c r="AJ12" i="16"/>
  <c r="AJ14" i="16" s="1"/>
  <c r="C18" i="7"/>
  <c r="AA14" i="16"/>
  <c r="AG14" i="16"/>
  <c r="AD13" i="16"/>
  <c r="AG13" i="16"/>
  <c r="AA13" i="16"/>
  <c r="AJ13" i="16"/>
  <c r="V43" i="20"/>
  <c r="B51" i="20"/>
  <c r="AD35" i="20"/>
  <c r="X22" i="16"/>
  <c r="J25" i="7" s="1"/>
  <c r="X17" i="16"/>
  <c r="J20" i="7" s="1"/>
  <c r="X24" i="16"/>
  <c r="J27" i="7" s="1"/>
  <c r="X15" i="16"/>
  <c r="J17" i="7" s="1"/>
  <c r="X13" i="16"/>
  <c r="J16" i="7" s="1"/>
  <c r="X16" i="16"/>
  <c r="J19" i="7" s="1"/>
  <c r="X21" i="16"/>
  <c r="J24" i="7" s="1"/>
  <c r="X18" i="16"/>
  <c r="J21" i="7" s="1"/>
  <c r="X23" i="16"/>
  <c r="J26" i="7" s="1"/>
  <c r="X25" i="16"/>
  <c r="J28" i="7" s="1"/>
  <c r="X19" i="16"/>
  <c r="J22" i="7" s="1"/>
  <c r="X20" i="16"/>
  <c r="J23" i="7" s="1"/>
  <c r="W43" i="20" l="1"/>
  <c r="B52" i="20"/>
  <c r="AE35" i="20"/>
  <c r="X12" i="16"/>
  <c r="J15" i="7" s="1"/>
  <c r="X43" i="20" l="1"/>
  <c r="B53" i="20"/>
  <c r="X14" i="16"/>
  <c r="J18" i="7" s="1"/>
  <c r="Y43" i="20" l="1"/>
  <c r="B54" i="20"/>
  <c r="H28" i="7"/>
  <c r="H25" i="7"/>
  <c r="H26" i="7"/>
  <c r="H27" i="7"/>
  <c r="H17" i="7"/>
  <c r="H35" i="7"/>
  <c r="H41" i="7"/>
  <c r="H38" i="7"/>
  <c r="Z43" i="20" l="1"/>
  <c r="B55" i="20"/>
  <c r="AA43" i="20" l="1"/>
  <c r="B56" i="20"/>
  <c r="K27" i="7"/>
  <c r="K25" i="7"/>
  <c r="K26" i="7"/>
  <c r="K28" i="7"/>
  <c r="AB43" i="20" l="1"/>
  <c r="B57" i="20"/>
  <c r="K38" i="7"/>
  <c r="K35" i="7"/>
  <c r="AC43" i="20" l="1"/>
  <c r="B58" i="20"/>
  <c r="AD43" i="20" l="1"/>
  <c r="B59" i="20"/>
  <c r="AE43" i="20" l="1"/>
  <c r="B60" i="20"/>
  <c r="AF43" i="20" l="1"/>
  <c r="B61" i="20"/>
  <c r="AG43" i="20" l="1"/>
  <c r="B62" i="20"/>
  <c r="AH43" i="20" l="1"/>
  <c r="B64" i="20" s="1"/>
  <c r="E50" i="20" s="1"/>
  <c r="G7" i="16" s="1"/>
  <c r="B63" i="20"/>
  <c r="J31" i="16" l="1"/>
  <c r="V30" i="16"/>
  <c r="O20" i="16"/>
  <c r="I83" i="16"/>
  <c r="I82" i="16" s="1"/>
  <c r="S26" i="16"/>
  <c r="O19" i="16"/>
  <c r="U29" i="16"/>
  <c r="U26" i="16"/>
  <c r="V27" i="16"/>
  <c r="Q26" i="16"/>
  <c r="O16" i="16"/>
  <c r="T26" i="16"/>
  <c r="U28" i="16"/>
  <c r="O24" i="16"/>
  <c r="S29" i="16"/>
  <c r="O21" i="16"/>
  <c r="U27" i="16"/>
  <c r="T28" i="16"/>
  <c r="R30" i="16"/>
  <c r="O18" i="16"/>
  <c r="O23" i="16"/>
  <c r="R27" i="16"/>
  <c r="R26" i="16"/>
  <c r="T27" i="16"/>
  <c r="S30" i="16"/>
  <c r="U30" i="16"/>
  <c r="G83" i="16"/>
  <c r="G82" i="16" s="1"/>
  <c r="R29" i="16"/>
  <c r="Q27" i="16"/>
  <c r="O17" i="16"/>
  <c r="S27" i="16"/>
  <c r="E83" i="16"/>
  <c r="E82" i="16" s="1"/>
  <c r="O22" i="16"/>
  <c r="F9" i="16"/>
  <c r="V29" i="16"/>
  <c r="T29" i="16"/>
  <c r="F83" i="16"/>
  <c r="T30" i="16"/>
  <c r="S28" i="16"/>
  <c r="R28" i="16"/>
  <c r="H83" i="16"/>
  <c r="H82" i="16" s="1"/>
  <c r="Q29" i="16"/>
  <c r="V28" i="16"/>
  <c r="Q28" i="16"/>
  <c r="O25" i="16"/>
  <c r="Q30" i="16"/>
  <c r="K29" i="16" l="1"/>
  <c r="L29" i="16" s="1"/>
  <c r="C38" i="7" s="1"/>
  <c r="F82" i="16"/>
  <c r="H32" i="7" s="1"/>
  <c r="K26" i="16"/>
  <c r="L26" i="16" s="1"/>
  <c r="C29" i="7" s="1"/>
  <c r="H15" i="7"/>
  <c r="H22" i="7"/>
  <c r="H23" i="7"/>
  <c r="H21" i="7"/>
  <c r="K30" i="16"/>
  <c r="L30" i="16" s="1"/>
  <c r="C41" i="7" s="1"/>
  <c r="K28" i="16"/>
  <c r="L28" i="16" s="1"/>
  <c r="C35" i="7" s="1"/>
  <c r="K27" i="16"/>
  <c r="L27" i="16" s="1"/>
  <c r="C32" i="7" s="1"/>
  <c r="AG26" i="16"/>
  <c r="AH26" i="16" s="1"/>
  <c r="AJ28" i="16"/>
  <c r="AK28" i="16" s="1"/>
  <c r="AG28" i="16"/>
  <c r="AH28" i="16" s="1"/>
  <c r="AJ29" i="16"/>
  <c r="AK29" i="16" s="1"/>
  <c r="AG29" i="16"/>
  <c r="AH29" i="16" s="1"/>
  <c r="AG30" i="16"/>
  <c r="AH30" i="16" s="1"/>
  <c r="AJ30" i="16"/>
  <c r="AK30" i="16" s="1"/>
  <c r="AF31" i="16"/>
  <c r="AH31" i="16" s="1"/>
  <c r="AI31" i="16"/>
  <c r="AK31" i="16" s="1"/>
  <c r="AD29" i="16"/>
  <c r="AA29" i="16"/>
  <c r="AB29" i="16" s="1"/>
  <c r="AD28" i="16"/>
  <c r="AA28" i="16"/>
  <c r="AB28" i="16" s="1"/>
  <c r="H19" i="7"/>
  <c r="H20" i="7"/>
  <c r="H24" i="7"/>
  <c r="AD30" i="16"/>
  <c r="AA30" i="16"/>
  <c r="AB30" i="16" s="1"/>
  <c r="AC31" i="16"/>
  <c r="Z31" i="16"/>
  <c r="AB31" i="16" s="1"/>
  <c r="I35" i="7"/>
  <c r="I38" i="7"/>
  <c r="AE14" i="16"/>
  <c r="Y14" i="16" s="1"/>
  <c r="AH14" i="16"/>
  <c r="H16" i="7"/>
  <c r="P37" i="16"/>
  <c r="AB22" i="16"/>
  <c r="AB25" i="16"/>
  <c r="AE18" i="16"/>
  <c r="Y18" i="16" s="1"/>
  <c r="AE15" i="16"/>
  <c r="Y15" i="16" s="1"/>
  <c r="AK19" i="16"/>
  <c r="AH22" i="16"/>
  <c r="AE20" i="16"/>
  <c r="Y20" i="16" s="1"/>
  <c r="AB17" i="16"/>
  <c r="AH15" i="16"/>
  <c r="AE17" i="16"/>
  <c r="Y17" i="16" s="1"/>
  <c r="AE24" i="16"/>
  <c r="Y24" i="16" s="1"/>
  <c r="AM24" i="16" s="1"/>
  <c r="AH13" i="16"/>
  <c r="AK24" i="16"/>
  <c r="H18" i="7"/>
  <c r="AH20" i="16"/>
  <c r="AH19" i="16"/>
  <c r="AE23" i="16"/>
  <c r="Y23" i="16" s="1"/>
  <c r="AM23" i="16" s="1"/>
  <c r="AK20" i="16"/>
  <c r="AB16" i="16"/>
  <c r="M37" i="16"/>
  <c r="AB23" i="16"/>
  <c r="AK18" i="16"/>
  <c r="AB14" i="16"/>
  <c r="P38" i="16"/>
  <c r="AH16" i="16"/>
  <c r="AH24" i="16"/>
  <c r="AH23" i="16"/>
  <c r="AK17" i="16"/>
  <c r="AH17" i="16"/>
  <c r="AE13" i="16"/>
  <c r="Y13" i="16" s="1"/>
  <c r="AK14" i="16"/>
  <c r="AH12" i="16"/>
  <c r="P39" i="16"/>
  <c r="AB13" i="16"/>
  <c r="AK25" i="16"/>
  <c r="AE25" i="16"/>
  <c r="Y25" i="16" s="1"/>
  <c r="AM25" i="16" s="1"/>
  <c r="AK21" i="16"/>
  <c r="AK22" i="16"/>
  <c r="AB19" i="16"/>
  <c r="AK15" i="16"/>
  <c r="AB20" i="16"/>
  <c r="P40" i="16"/>
  <c r="AB24" i="16"/>
  <c r="AH18" i="16"/>
  <c r="AB18" i="16"/>
  <c r="AK13" i="16"/>
  <c r="AB15" i="16"/>
  <c r="AE21" i="16"/>
  <c r="Y21" i="16" s="1"/>
  <c r="AE19" i="16"/>
  <c r="Y19" i="16" s="1"/>
  <c r="AK23" i="16"/>
  <c r="AE12" i="16"/>
  <c r="AH21" i="16"/>
  <c r="AB12" i="16"/>
  <c r="AK16" i="16"/>
  <c r="AB21" i="16"/>
  <c r="AK12" i="16"/>
  <c r="AE22" i="16"/>
  <c r="Y22" i="16" s="1"/>
  <c r="AM22" i="16" s="1"/>
  <c r="AE16" i="16"/>
  <c r="Y16" i="16" s="1"/>
  <c r="AH25" i="16"/>
  <c r="I41" i="7"/>
  <c r="I32" i="7"/>
  <c r="AD27" i="16" l="1"/>
  <c r="AA26" i="16"/>
  <c r="AB26" i="16" s="1"/>
  <c r="AD26" i="16"/>
  <c r="AE26" i="16" s="1"/>
  <c r="Y26" i="16" s="1"/>
  <c r="AJ26" i="16"/>
  <c r="AK26" i="16" s="1"/>
  <c r="AG27" i="16"/>
  <c r="AH27" i="16" s="1"/>
  <c r="AH33" i="16" s="1"/>
  <c r="AH34" i="16" s="1"/>
  <c r="AA27" i="16"/>
  <c r="AB27" i="16" s="1"/>
  <c r="AB33" i="16" s="1"/>
  <c r="AB34" i="16" s="1"/>
  <c r="AJ27" i="16"/>
  <c r="AK27" i="16" s="1"/>
  <c r="AM18" i="16"/>
  <c r="K21" i="7"/>
  <c r="AM19" i="16"/>
  <c r="K22" i="7"/>
  <c r="M39" i="16"/>
  <c r="M40" i="16" s="1"/>
  <c r="AM21" i="16"/>
  <c r="K24" i="7"/>
  <c r="AM17" i="16"/>
  <c r="K20" i="7"/>
  <c r="AM16" i="16"/>
  <c r="K19" i="7"/>
  <c r="AE27" i="16"/>
  <c r="Y27" i="16" s="1"/>
  <c r="X27" i="16"/>
  <c r="J32" i="7" s="1"/>
  <c r="Y12" i="16"/>
  <c r="K18" i="7"/>
  <c r="AM14" i="16"/>
  <c r="AE28" i="16"/>
  <c r="Y28" i="16" s="1"/>
  <c r="AM28" i="16" s="1"/>
  <c r="X28" i="16"/>
  <c r="J35" i="7" s="1"/>
  <c r="K23" i="7"/>
  <c r="AM20" i="16"/>
  <c r="AE29" i="16"/>
  <c r="Y29" i="16" s="1"/>
  <c r="AM29" i="16" s="1"/>
  <c r="X29" i="16"/>
  <c r="J38" i="7" s="1"/>
  <c r="K17" i="7"/>
  <c r="AM15" i="16"/>
  <c r="AE31" i="16"/>
  <c r="Y31" i="16" s="1"/>
  <c r="W31" i="16"/>
  <c r="J44" i="7" s="1"/>
  <c r="AE30" i="16"/>
  <c r="Y30" i="16" s="1"/>
  <c r="X30" i="16"/>
  <c r="J41" i="7" s="1"/>
  <c r="AM13" i="16"/>
  <c r="K16" i="7"/>
  <c r="X26" i="16" l="1"/>
  <c r="J29" i="7" s="1"/>
  <c r="AK33" i="16"/>
  <c r="AK34" i="16" s="1"/>
  <c r="AM27" i="16"/>
  <c r="K32" i="7"/>
  <c r="AM31" i="16"/>
  <c r="K44" i="7"/>
  <c r="F53" i="7" s="1"/>
  <c r="AM12" i="16"/>
  <c r="K15" i="7"/>
  <c r="AM26" i="16"/>
  <c r="K29" i="7"/>
  <c r="K41" i="7"/>
  <c r="AM30" i="16"/>
  <c r="AE33" i="16"/>
  <c r="K47" i="7" l="1"/>
  <c r="K49" i="7" s="1"/>
  <c r="AE34" i="16"/>
  <c r="W34" i="16" s="1"/>
  <c r="W3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44" authorId="0" shapeId="0" xr:uid="{4494BFA2-D252-46B3-AED5-DB57171B027A}">
      <text>
        <r>
          <rPr>
            <sz val="9"/>
            <color indexed="81"/>
            <rFont val="Tahoma"/>
            <family val="2"/>
            <charset val="238"/>
          </rPr>
          <t>nadlimitní
překročení
rezervované
kapacity (m³)</t>
        </r>
      </text>
    </comment>
    <comment ref="D45" authorId="0" shapeId="0" xr:uid="{74855510-F758-41ED-88AA-13E7314CB429}">
      <text>
        <r>
          <rPr>
            <sz val="9"/>
            <color indexed="81"/>
            <rFont val="Tahoma"/>
            <family val="2"/>
            <charset val="238"/>
          </rPr>
          <t>datum překročení</t>
        </r>
      </text>
    </comment>
    <comment ref="F6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I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U43" authorId="0" shapeId="0" xr:uid="{527B8B8B-7C6D-42A6-883C-AA007409DF65}">
      <text>
        <r>
          <rPr>
            <b/>
            <sz val="9"/>
            <color indexed="81"/>
            <rFont val="Tahoma"/>
            <family val="2"/>
            <charset val="238"/>
          </rPr>
          <t>Bernátová Alena:</t>
        </r>
        <r>
          <rPr>
            <sz val="9"/>
            <color indexed="81"/>
            <rFont val="Tahoma"/>
            <family val="2"/>
            <charset val="238"/>
          </rPr>
          <t xml:space="preserve">
pro všechny vzorce
</t>
        </r>
      </text>
    </comment>
    <comment ref="V43" authorId="0" shapeId="0" xr:uid="{DCD906D9-8C64-4AEE-8839-D33D42FBEE6C}">
      <text>
        <r>
          <rPr>
            <b/>
            <sz val="9"/>
            <color indexed="81"/>
            <rFont val="Tahoma"/>
            <family val="2"/>
            <charset val="238"/>
          </rPr>
          <t xml:space="preserve">CR bod 10.3
</t>
        </r>
        <r>
          <rPr>
            <sz val="9"/>
            <color indexed="81"/>
            <rFont val="Tahoma"/>
            <family val="2"/>
            <charset val="238"/>
          </rPr>
          <t>Cena za rezervovanou pevnou přepravní kapacitu</t>
        </r>
      </text>
    </comment>
    <comment ref="H44" authorId="0" shapeId="0" xr:uid="{DB4EB003-531C-4199-8DF4-50BB6CDE7438}">
      <text>
        <r>
          <rPr>
            <b/>
            <sz val="9"/>
            <color indexed="81"/>
            <rFont val="Tahoma"/>
            <family val="2"/>
            <charset val="238"/>
          </rPr>
          <t>CR bod (13.7.5)</t>
        </r>
      </text>
    </comment>
    <comment ref="M44" authorId="0" shapeId="0" xr:uid="{7A303F8D-836C-458C-A752-474D4679D951}">
      <text>
        <r>
          <rPr>
            <b/>
            <sz val="9"/>
            <color indexed="81"/>
            <rFont val="Tahoma"/>
            <family val="2"/>
            <charset val="238"/>
          </rPr>
          <t>CR bod (13.7.5)</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12.3. CR Cena za zúčtování OTE + NAŘÍZENÍ VLÁDY ze dne 14. prosince 2015 o stanovení sazby poplatku na činnost ERU dle § 17d odst.3 EZ</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<sst xmlns="http://schemas.openxmlformats.org/spreadsheetml/2006/main" count="679" uniqueCount="421">
  <si>
    <t>Kč/MWh</t>
  </si>
  <si>
    <t xml:space="preserve"> </t>
  </si>
  <si>
    <t>Dálkovod</t>
  </si>
  <si>
    <t>Místní síť</t>
  </si>
  <si>
    <t>kWh</t>
  </si>
  <si>
    <t>kontrola</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</si>
  <si>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</si>
  <si>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</si>
  <si>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</si>
  <si>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</si>
  <si>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</si>
  <si>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</si>
  <si>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</si>
  <si>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</si>
  <si>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</si>
  <si>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</si>
  <si>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</si>
  <si>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</si>
  <si>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</si>
  <si>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</si>
  <si>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</si>
  <si>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Cena za MJ bez DHP (Kč)</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</si>
  <si>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</si>
  <si>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</si>
  <si>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</si>
  <si>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</si>
  <si>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</si>
  <si>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</si>
  <si>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</si>
  <si>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</si>
  <si>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</si>
  <si>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</si>
  <si>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t>Distribuované množství plynu za zvolené období</t>
  </si>
  <si>
    <t>Provozovatel distribuční soustavy - síť</t>
  </si>
  <si>
    <t>měsíční A</t>
  </si>
  <si>
    <t>měsíční B</t>
  </si>
  <si>
    <t>měsíční C</t>
  </si>
  <si>
    <t>měsíční D</t>
  </si>
  <si>
    <t>měsíční E</t>
  </si>
  <si>
    <t>překročení</t>
  </si>
  <si>
    <t>Denní rezervovaná pevná kapacita ve výši historického denního maxima</t>
  </si>
  <si>
    <t>Poplatek za činnosti Operátora trhu</t>
  </si>
  <si>
    <t>GasNet, s.r.o.</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</si>
  <si>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</si>
  <si>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</si>
  <si>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</si>
  <si>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</si>
  <si>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</si>
  <si>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</si>
  <si>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</si>
  <si>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</si>
  <si>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</si>
  <si>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</si>
  <si>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</si>
  <si>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</si>
  <si>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</si>
  <si>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</si>
  <si>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</si>
  <si>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</si>
  <si>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</si>
  <si>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</si>
  <si>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</si>
  <si>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</si>
  <si>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</si>
  <si>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</si>
  <si>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</si>
  <si>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</si>
  <si>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</si>
  <si>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</si>
  <si>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</si>
  <si>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</si>
  <si>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</si>
  <si>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</si>
  <si>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</si>
  <si>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</si>
  <si>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</si>
  <si>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</si>
  <si>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</si>
  <si>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</si>
  <si>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</si>
  <si>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</si>
  <si>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</si>
  <si>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</si>
  <si>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</si>
  <si>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</si>
  <si>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</si>
  <si>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</si>
  <si>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</si>
  <si>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</si>
  <si>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</si>
  <si>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</si>
  <si>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</si>
  <si>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</si>
  <si>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</si>
  <si>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</si>
  <si>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</si>
  <si>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</si>
  <si>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</si>
  <si>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</si>
  <si>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</si>
  <si>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</si>
  <si>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</si>
  <si>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</si>
  <si>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</si>
  <si>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</si>
  <si>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</si>
  <si>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</si>
  <si>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</si>
  <si>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</si>
  <si>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</si>
  <si>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</si>
  <si>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</si>
  <si>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</si>
  <si>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</si>
  <si>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</si>
  <si>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</si>
  <si>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</si>
  <si>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</si>
  <si>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</si>
  <si>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</si>
  <si>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</si>
  <si>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</si>
  <si>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</si>
  <si>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</si>
  <si>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</si>
  <si>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</si>
  <si>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</si>
  <si>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</si>
  <si>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</si>
  <si>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</si>
  <si>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</si>
  <si>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</si>
  <si>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</si>
  <si>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</si>
  <si>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</si>
  <si>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</si>
  <si>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</si>
  <si>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</si>
  <si>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</si>
  <si>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</si>
  <si>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</si>
  <si>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</si>
  <si>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</si>
  <si>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</si>
  <si>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Hodnoty z platného cenového rozhodnutí platné od:</t>
  </si>
  <si>
    <t>Cena komodita</t>
  </si>
  <si>
    <t>KAPACITA Dálkovod</t>
  </si>
  <si>
    <t>společnost</t>
  </si>
  <si>
    <t>Kč/kWh</t>
  </si>
  <si>
    <t>A</t>
  </si>
  <si>
    <t>A pro M3R</t>
  </si>
  <si>
    <t>B</t>
  </si>
  <si>
    <t>&lt;= 200 000 m3</t>
  </si>
  <si>
    <r>
      <t>CK=(a+b*ln k)</t>
    </r>
    <r>
      <rPr>
        <sz val="11"/>
        <color indexed="40"/>
        <rFont val="Calibri"/>
        <family val="2"/>
        <charset val="238"/>
      </rPr>
      <t xml:space="preserve">*1000 </t>
    </r>
  </si>
  <si>
    <t>&gt;200 000 m3 &lt;= 600 000 m3</t>
  </si>
  <si>
    <t>EON</t>
  </si>
  <si>
    <t>&gt;600 000 m3</t>
  </si>
  <si>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</si>
  <si>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</si>
  <si>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</si>
  <si>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</si>
  <si>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</si>
  <si>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</si>
  <si>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</si>
  <si>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</si>
  <si>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</si>
  <si>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</si>
  <si>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</si>
  <si>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</si>
  <si>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t>Kč/m3</t>
  </si>
  <si>
    <t>Cena popl. z nařízení vlády č.392 392 ze dne 14. prosince 2015</t>
  </si>
  <si>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</si>
  <si>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</si>
  <si>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</si>
  <si>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</si>
  <si>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</si>
  <si>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</si>
  <si>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</si>
  <si>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</si>
  <si>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</si>
  <si>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</si>
  <si>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</si>
  <si>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</si>
  <si>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</si>
  <si>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</si>
  <si>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</si>
  <si>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</si>
  <si>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</si>
  <si>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</si>
  <si>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</si>
  <si>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</si>
  <si>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</si>
  <si>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</si>
  <si>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</si>
  <si>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</si>
  <si>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</si>
  <si>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</si>
  <si>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</si>
  <si>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</si>
  <si>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</si>
  <si>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</si>
  <si>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</si>
  <si>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</si>
  <si>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</si>
  <si>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</si>
  <si>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</si>
  <si>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</si>
  <si>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</si>
  <si>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</si>
  <si>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</si>
  <si>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</si>
  <si>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</si>
  <si>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</si>
  <si>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</si>
  <si>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</si>
  <si>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</si>
  <si>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</si>
  <si>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</si>
  <si>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</si>
  <si>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</si>
  <si>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</si>
  <si>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</si>
  <si>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</si>
  <si>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</si>
  <si>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</si>
  <si>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</si>
  <si>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</si>
  <si>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</si>
  <si>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</si>
  <si>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</si>
  <si>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</si>
  <si>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</si>
  <si>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</si>
  <si>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</si>
  <si>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</si>
  <si>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</si>
  <si>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</si>
  <si>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roční cena za denní rezervovanou pevnou distribuční kapacitu stanovená podle
vzorce v bodě (13.1.2.1) písmene a) nebo (13.1.2.2) písmene a)</t>
  </si>
  <si>
    <t>CR 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</si>
  <si>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</si>
  <si>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</si>
  <si>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</si>
  <si>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</si>
  <si>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</si>
  <si>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</si>
  <si>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</si>
  <si>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</si>
  <si>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</si>
  <si>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</si>
  <si>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</si>
  <si>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</si>
  <si>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</si>
  <si>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</si>
  <si>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</si>
  <si>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</si>
  <si>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</si>
  <si>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</si>
  <si>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</si>
  <si>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</si>
  <si>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</si>
  <si>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</si>
  <si>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</si>
  <si>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</si>
  <si>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</si>
  <si>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</si>
  <si>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</si>
  <si>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</si>
  <si>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</si>
  <si>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</si>
  <si>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</si>
  <si>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</si>
  <si>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</si>
  <si>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</si>
  <si>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</si>
  <si>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</si>
  <si>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</si>
  <si>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</si>
  <si>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</si>
  <si>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</si>
  <si>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</si>
  <si>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</si>
  <si>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</si>
  <si>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</si>
  <si>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</si>
  <si>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</si>
  <si>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</si>
  <si>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</si>
  <si>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</si>
  <si>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</si>
  <si>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</si>
  <si>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</si>
  <si>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</si>
  <si>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</si>
  <si>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</si>
  <si>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</si>
  <si>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</si>
  <si>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</si>
  <si>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</si>
  <si>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</si>
  <si>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</si>
  <si>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</si>
  <si>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</si>
  <si>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</si>
  <si>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</si>
  <si>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</si>
  <si>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</si>
  <si>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</si>
  <si>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</si>
  <si>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</si>
  <si>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Vyhodnocovaný měsíc</t>
  </si>
  <si>
    <t>suchdol</t>
  </si>
  <si>
    <t>&lt;= 500 000 MWh</t>
  </si>
  <si>
    <t>Místní Síť (MS)</t>
  </si>
  <si>
    <t>Dálkovod (DV)</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</si>
  <si>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</si>
  <si>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</si>
  <si>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</si>
  <si>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</si>
  <si>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</si>
  <si>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</si>
  <si>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</si>
  <si>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</si>
  <si>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</si>
  <si>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</si>
  <si>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</si>
  <si>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</si>
  <si>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</si>
  <si>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</si>
  <si>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</si>
  <si>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</si>
  <si>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</si>
  <si>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</si>
  <si>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</si>
  <si>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</si>
  <si>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</si>
  <si>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</si>
  <si>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</si>
  <si>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</si>
  <si>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</si>
  <si>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</si>
  <si>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</si>
  <si>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</si>
  <si>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</si>
  <si>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</si>
  <si>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</si>
  <si>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</si>
  <si>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</si>
  <si>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</si>
  <si>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</si>
  <si>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</si>
  <si>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</si>
  <si>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zkušební provoz</t>
  </si>
  <si>
    <t>vypočtená kapacita VOSO</t>
  </si>
  <si>
    <t>Druh OM/odběru</t>
  </si>
  <si>
    <t>CNG VOSO</t>
  </si>
  <si>
    <t>Předávací místo mezi DS (LDS,RDS)</t>
  </si>
  <si>
    <t>Zkušební provoz</t>
  </si>
  <si>
    <t>upravit kalkulačku na to, aby CNG VO viz CR 13.13.2 - vyhodnocovalo jak má tj. cena pouze za komoditu, pevná cena nezávislá na kapacitě a na spotřebě tj. neplatí za ŽÁDNOU kapacitu, nemůže mít MK ani KK ale aspoň dle CR22 se mu již POČÍTÁ překročení OD 1.7.2022, nemá ale nadlimitní cenu, vždy jen základní vzorec dle bodu a)</t>
  </si>
  <si>
    <t>fakturovaná část měsíce - mifa</t>
  </si>
  <si>
    <t>final poslat na Kousal Tomáš, Lukáš Hoch</t>
  </si>
  <si>
    <t>Běžný</t>
  </si>
  <si>
    <t>Typ tarifu</t>
  </si>
  <si>
    <t>Hradec1</t>
  </si>
  <si>
    <t>Koeficient pro výpočet klouzavé kapacity:</t>
  </si>
  <si>
    <t>Den s maximální
spotřebou (dd.mm.rrrr.)</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</si>
  <si>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</si>
  <si>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Platbu za překročení podle bodu (13.6) platí provozovatel distribuční soustavy, pokud denní rezervovaná pevná distribuční kapacita v předávacím místě mezi DS je nižší než nejvyšší skutečně dosažený denní odběr plynu v období od 1. října 2018 do 30. září 2021.</t>
  </si>
  <si>
    <t>Texty pro jednotlivé typy</t>
  </si>
  <si>
    <t>Pokud dojde k překročení denní rezervované distribuční kapacity ve zkušebním provozu, je pro výpočet měsíční platby za denní rezervovanou distribuční kapacitu ve zkušebním provozu použita cena CK, pro jejíž stanovení se za k považuje skutečně dosažený maximální denní odběr v odběrném místě v měsíci, ve kterém k překročení došlo.</t>
  </si>
  <si>
    <t>Výrobna plynu</t>
  </si>
  <si>
    <t xml:space="preserve"> Spotřeba v nm3 (měření C)</t>
  </si>
  <si>
    <t>Výpočet měsíční platby za denní přidělenou pevnou distribuční kapacitu dle CR 13.1.14.2</t>
  </si>
  <si>
    <t>Období od</t>
  </si>
  <si>
    <t>Období do</t>
  </si>
  <si>
    <t>poslední den</t>
  </si>
  <si>
    <t xml:space="preserve">první den </t>
  </si>
  <si>
    <t>Období od/do vyhodn.měsíce</t>
  </si>
  <si>
    <t>měsíc</t>
  </si>
  <si>
    <t>den měsíce</t>
  </si>
  <si>
    <t>dny vyhodn. měsíce</t>
  </si>
  <si>
    <t>od</t>
  </si>
  <si>
    <t>do</t>
  </si>
  <si>
    <t>Součet spotřeb aktuálního roku od 1.1. do konce předcházejícího měsíce pro určení nadlimitní ceny</t>
  </si>
  <si>
    <t>Výše přepočtené spotřeby v m³ ve dni s max.spotřebou resp.dni překročení</t>
  </si>
  <si>
    <t>Při výběru typu tarifu "Zkušební provoz" vyplňte v řádku 40 spotřebu do pole "Výše přepočtené spotřeby v m³ ve dni s max.spotřebou resp.dni překročení"</t>
  </si>
  <si>
    <t>kontrola zadání období do</t>
  </si>
  <si>
    <t xml:space="preserve">Nadlimitní spotřeba </t>
  </si>
  <si>
    <t>nadlimit ANO/NE</t>
  </si>
  <si>
    <t>final rozmezí</t>
  </si>
  <si>
    <t>přerušitelné kapacity</t>
  </si>
  <si>
    <t>Denní rezerovaná přerušitelná distribuční kapacita na dobu neurčitou (pro měření typu A a B)</t>
  </si>
  <si>
    <t>Denní rezervovaná přerušitelná měsíční distribuční kapacita 1</t>
  </si>
  <si>
    <t>přerušitelná roční</t>
  </si>
  <si>
    <t>přerušitelná měsíční A</t>
  </si>
  <si>
    <t>kapacita</t>
  </si>
  <si>
    <t>Denní rezervovaná přerušitelná měsíční distribuční kapacita 2</t>
  </si>
  <si>
    <t>Denní rezervovaná přerušitelná měsíční distribuční kapacita 3</t>
  </si>
  <si>
    <t>Denní rezervovaná přerušitelná měsíční distribuční kapacita 4</t>
  </si>
  <si>
    <t>Denní rezervovaná přerušitelná měsíční distribuční kapacita 5</t>
  </si>
  <si>
    <t>celkem v WMh</t>
  </si>
  <si>
    <t>Rozmezí součtu kapacit - pro vzorec výpočtu CENY kapacit</t>
  </si>
  <si>
    <t>upravit aby jednotlivé vzorce odkazovali pouze na buňky a nebyly koeficienty schované v nich</t>
  </si>
  <si>
    <t>spalné teplo</t>
  </si>
  <si>
    <t>koeficient nadlimitní vzorce kapacity</t>
  </si>
  <si>
    <t>první koeficient nadlimitní vzorce kapacity</t>
  </si>
  <si>
    <t>druhý koeficient nadlimitní vzorce kapacity</t>
  </si>
  <si>
    <r>
      <rPr>
        <sz val="11"/>
        <color rgb="FF00B050"/>
        <rFont val="Calibri"/>
        <family val="2"/>
        <charset val="238"/>
        <scheme val="minor"/>
      </rPr>
      <t xml:space="preserve">HODNOTY CENOVÉHO ROZHODNUTÍ: Zeleně - přepsáno na nové ceny. </t>
    </r>
    <r>
      <rPr>
        <sz val="11"/>
        <color rgb="FFFF0000"/>
        <rFont val="Calibri"/>
        <family val="2"/>
        <charset val="238"/>
        <scheme val="minor"/>
      </rPr>
      <t>Červeně - změna oproti loňskému roku.</t>
    </r>
    <r>
      <rPr>
        <sz val="11"/>
        <rFont val="Calibri"/>
        <family val="2"/>
        <charset val="238"/>
        <scheme val="minor"/>
      </rPr>
      <t xml:space="preserve"> Černě - vzorce nebo beze změny</t>
    </r>
  </si>
  <si>
    <t>Koeficienty Kapacity</t>
  </si>
  <si>
    <t>Kapacita NADLIMIT</t>
  </si>
  <si>
    <t>X</t>
  </si>
  <si>
    <t>měsíční zkopírovat dohromady, KK taky</t>
  </si>
  <si>
    <r>
      <t>CK=(((a+b*ln k)*200 000)+((CPPZ-n*10,69*</t>
    </r>
    <r>
      <rPr>
        <sz val="11"/>
        <color indexed="10"/>
        <rFont val="Calibri"/>
        <family val="2"/>
        <charset val="238"/>
      </rPr>
      <t>2,11</t>
    </r>
    <r>
      <rPr>
        <sz val="11"/>
        <rFont val="Calibri"/>
        <family val="2"/>
      </rPr>
      <t>)/1000*(k-200 000)))/k*1000</t>
    </r>
  </si>
  <si>
    <r>
      <t>CK=(((a+b*ln k)*200 000)+((CPPZ-n*10,69*</t>
    </r>
    <r>
      <rPr>
        <sz val="11"/>
        <color indexed="10"/>
        <rFont val="Calibri"/>
        <family val="2"/>
        <charset val="238"/>
      </rPr>
      <t>2,11</t>
    </r>
    <r>
      <rPr>
        <sz val="11"/>
        <color theme="1"/>
        <rFont val="Calibri"/>
        <family val="2"/>
        <charset val="238"/>
        <scheme val="minor"/>
      </rPr>
      <t>)/1000</t>
    </r>
    <r>
      <rPr>
        <b/>
        <sz val="11"/>
        <color indexed="8"/>
        <rFont val="Calibri"/>
        <family val="2"/>
        <charset val="238"/>
      </rPr>
      <t>*400 000)+((CPPZ-n*10,69*</t>
    </r>
    <r>
      <rPr>
        <b/>
        <sz val="11"/>
        <color indexed="10"/>
        <rFont val="Calibri"/>
        <family val="2"/>
        <charset val="238"/>
      </rPr>
      <t>1,40</t>
    </r>
    <r>
      <rPr>
        <b/>
        <sz val="11"/>
        <color indexed="8"/>
        <rFont val="Calibri"/>
        <family val="2"/>
        <charset val="238"/>
      </rPr>
      <t>)/1000*(k-600 000)))/k</t>
    </r>
    <r>
      <rPr>
        <sz val="11"/>
        <color theme="1"/>
        <rFont val="Calibri"/>
        <family val="2"/>
        <charset val="238"/>
        <scheme val="minor"/>
      </rPr>
      <t>*1000</t>
    </r>
  </si>
  <si>
    <r>
      <t>CK=(((a+b*ln k)*200 000)+((CPPZ-n*10,69*</t>
    </r>
    <r>
      <rPr>
        <sz val="11"/>
        <color indexed="10"/>
        <rFont val="Calibri"/>
        <family val="2"/>
        <charset val="238"/>
      </rPr>
      <t>2,89</t>
    </r>
    <r>
      <rPr>
        <sz val="11"/>
        <rFont val="Calibri"/>
        <family val="2"/>
      </rPr>
      <t>)/1000*(k-200 000)))/k*1000</t>
    </r>
  </si>
  <si>
    <r>
      <t>CK=(((a+b*ln k)*200 000)+((CPPZ-n*10,69*</t>
    </r>
    <r>
      <rPr>
        <sz val="11"/>
        <color indexed="10"/>
        <rFont val="Calibri"/>
        <family val="2"/>
        <charset val="238"/>
      </rPr>
      <t>2,89</t>
    </r>
    <r>
      <rPr>
        <sz val="11"/>
        <color theme="1"/>
        <rFont val="Calibri"/>
        <family val="2"/>
        <charset val="238"/>
        <scheme val="minor"/>
      </rPr>
      <t>)/1000*400 000)+((CPPZ-n*10,69*</t>
    </r>
    <r>
      <rPr>
        <sz val="11"/>
        <color indexed="10"/>
        <rFont val="Calibri"/>
        <family val="2"/>
        <charset val="238"/>
      </rPr>
      <t>2,36</t>
    </r>
    <r>
      <rPr>
        <sz val="11"/>
        <color theme="1"/>
        <rFont val="Calibri"/>
        <family val="2"/>
        <charset val="238"/>
        <scheme val="minor"/>
      </rPr>
      <t>)/1000*(k-600 000)))/k*1000</t>
    </r>
  </si>
  <si>
    <t>KDYŽ(KDYŽ(($N$26&lt;$F$7);E83-$F$7+1;E83-$N$26+1)&lt;=0;"kapacita zadána pro jiné období";KDYŽ(($N$26&lt;$F$7);E83-$F$7+1;E83-$N$26+1))</t>
  </si>
  <si>
    <t>KDYŽ(KDYŽ(($N$26&lt;$F$7);E83-$F$7+1;E83-$N$26+1)&lt;=0;"opravte období kapacity";KDYŽ(($N$26&lt;$F$7);E83-$F$7+1;E83-$N$26+1))</t>
  </si>
  <si>
    <t>Vypočtená cena za distribuci plynu dle zadaných hodnot kapacit a komodity platí pro období od 1. 1. 2023 do 31. 12. 2023.</t>
  </si>
  <si>
    <r>
      <t>m</t>
    </r>
    <r>
      <rPr>
        <b/>
        <vertAlign val="superscript"/>
        <sz val="10"/>
        <color rgb="FF0070C0"/>
        <rFont val="Arial"/>
        <family val="2"/>
        <charset val="238"/>
      </rPr>
      <t>3</t>
    </r>
  </si>
  <si>
    <t>Kalkulačka ceny VOSO za distribuci pro rok 2023 dle CR ERU - běžný tarif, CNG VOSO, Zkušební provoz, Předávací místo mezi DS (LDS,RDS), Výrobna plynu</t>
  </si>
  <si>
    <t xml:space="preserve">Kalkulačka ceny VOSO za distribuci pro rok 2023 dle CR ERU - jednosložkový tarif dle bodu 13.1.10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</si>
</sst>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0\ _K_č_-;\-* #,##0.00000\ _K_č_-;_-* &quot;-&quot;??\ _K_č_-;_-@_-"/>
    <numFmt numFmtId="176" formatCode="0.00000%"/>
  </numFmts>
  <fonts count="100" x14ac:knownFonts="1">
    <font>
      <sz val="11"/>
      <color theme="1"/>
      <name val="Calibri"/>
      <family val="2"/>
      <charset val="238"/>
      <scheme val="minor"/>
    </font>
    <font>
      <b/>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b/>
      <sz val="11"/>
      <color indexed="10"/>
      <name val="Calibri"/>
      <family val="2"/>
      <charset val="238"/>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sz val="12"/>
      <color rgb="FFFF0000"/>
      <name val="Calibri"/>
      <family val="2"/>
      <charset val="238"/>
      <scheme val="minor"/>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8"/>
      <color rgb="FF000000"/>
      <name val="Tahoma"/>
      <family val="2"/>
      <charset val="238"/>
    </font>
    <font>
      <sz val="20"/>
      <color theme="1"/>
      <name val="Calibri"/>
      <family val="2"/>
      <charset val="238"/>
      <scheme val="minor"/>
    </font>
    <font>
      <sz val="10"/>
      <color rgb="FFFF0000"/>
      <name val="Arial"/>
      <family val="2"/>
      <charset val="238"/>
    </font>
    <font>
      <b/>
      <sz val="11"/>
      <name val="Arial"/>
      <family val="2"/>
      <charset val="238"/>
    </font>
    <font>
      <sz val="9"/>
      <name val="Arial"/>
      <family val="2"/>
      <charset val="238"/>
    </font>
    <font>
      <b/>
      <sz val="14"/>
      <color rgb="FF0070C0"/>
      <name val="Arial"/>
      <family val="2"/>
      <charset val="238"/>
    </font>
    <font>
      <sz val="9"/>
      <color theme="0"/>
      <name val="Arial"/>
      <family val="2"/>
      <charset val="238"/>
    </font>
    <font>
      <sz val="11"/>
      <color rgb="FFF8F8F8"/>
      <name val="Arial"/>
      <family val="2"/>
      <charset val="238"/>
    </font>
    <font>
      <sz val="10"/>
      <color rgb="FF000000"/>
      <name val="Arial"/>
      <family val="2"/>
      <charset val="238"/>
    </font>
    <font>
      <sz val="11"/>
      <color rgb="FF0070C0"/>
      <name val="Calibri"/>
      <family val="2"/>
      <charset val="238"/>
      <scheme val="minor"/>
    </font>
    <font>
      <sz val="10"/>
      <color rgb="FF0070C0"/>
      <name val="Arial"/>
      <family val="2"/>
      <charset val="238"/>
    </font>
    <font>
      <b/>
      <sz val="10"/>
      <color rgb="FF0070C0"/>
      <name val="Arial"/>
      <family val="2"/>
      <charset val="238"/>
    </font>
    <font>
      <b/>
      <vertAlign val="superscript"/>
      <sz val="10"/>
      <color rgb="FF0070C0"/>
      <name val="Arial"/>
      <family val="2"/>
      <charset val="238"/>
    </font>
    <font>
      <sz val="11"/>
      <color rgb="FF0070C0"/>
      <name val="Arial"/>
      <family val="2"/>
      <charset val="238"/>
    </font>
    <font>
      <b/>
      <sz val="11"/>
      <color rgb="FF0070C0"/>
      <name val="Calibri"/>
      <family val="2"/>
      <charset val="238"/>
      <scheme val="minor"/>
    </font>
    <font>
      <b/>
      <sz val="11"/>
      <color rgb="FF0070C0"/>
      <name val="Arial"/>
      <family val="2"/>
      <charset val="238"/>
    </font>
  </fonts>
  <fills count="24">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C000"/>
        <bgColor indexed="64"/>
      </patternFill>
    </fill>
    <fill>
      <patternFill patternType="solid">
        <fgColor rgb="FFE37D90"/>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s>
  <cellStyleXfs count="9">
    <xf numFmtId="0" fontId="0" fillId="0" borderId="0"/>
    <xf numFmtId="164" fontId="17" fillId="0" borderId="0" applyFont="0" applyFill="0" applyBorder="0" applyAlignment="0" applyProtection="0"/>
    <xf numFmtId="0" fontId="17" fillId="0" borderId="0"/>
    <xf numFmtId="173"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cellStyleXfs>
  <cellXfs count="804">
    <xf numFmtId="0" fontId="0" fillId="0" borderId="0" xfId="0"/>
    <xf numFmtId="0" fontId="0" fillId="0" borderId="0" xfId="0" applyProtection="1"/>
    <xf numFmtId="0" fontId="18" fillId="0" borderId="0" xfId="0" applyFont="1" applyProtection="1"/>
    <xf numFmtId="0" fontId="0" fillId="0" borderId="0" xfId="0"/>
    <xf numFmtId="0" fontId="21" fillId="2" borderId="0" xfId="0" applyFont="1" applyFill="1"/>
    <xf numFmtId="0" fontId="22" fillId="2" borderId="0" xfId="0" applyFont="1" applyFill="1"/>
    <xf numFmtId="0" fontId="23" fillId="2" borderId="0" xfId="0" applyFont="1" applyFill="1"/>
    <xf numFmtId="0" fontId="22" fillId="0" borderId="0" xfId="0" applyFont="1"/>
    <xf numFmtId="4" fontId="22" fillId="2" borderId="0" xfId="0" applyNumberFormat="1" applyFont="1" applyFill="1"/>
    <xf numFmtId="0" fontId="22" fillId="2" borderId="0" xfId="0" applyFont="1" applyFill="1" applyAlignment="1">
      <alignment horizontal="left"/>
    </xf>
    <xf numFmtId="0" fontId="22" fillId="2" borderId="0" xfId="0" applyFont="1" applyFill="1" applyAlignment="1">
      <alignment wrapText="1"/>
    </xf>
    <xf numFmtId="4" fontId="24" fillId="2" borderId="0" xfId="0" applyNumberFormat="1" applyFont="1" applyFill="1" applyAlignment="1">
      <alignment horizontal="right" vertical="center"/>
    </xf>
    <xf numFmtId="14" fontId="22" fillId="2" borderId="0" xfId="0" applyNumberFormat="1" applyFont="1" applyFill="1" applyBorder="1" applyAlignment="1" applyProtection="1">
      <alignment vertical="center"/>
      <protection locked="0"/>
    </xf>
    <xf numFmtId="0" fontId="22" fillId="2" borderId="0" xfId="0" applyFont="1" applyFill="1" applyAlignment="1">
      <alignment vertical="center"/>
    </xf>
    <xf numFmtId="167" fontId="22" fillId="2" borderId="0" xfId="0" applyNumberFormat="1" applyFont="1" applyFill="1" applyAlignment="1">
      <alignment horizontal="right" vertical="center"/>
    </xf>
    <xf numFmtId="4" fontId="23" fillId="2" borderId="0" xfId="0" applyNumberFormat="1" applyFont="1" applyFill="1" applyAlignment="1">
      <alignment vertical="center"/>
    </xf>
    <xf numFmtId="4" fontId="24" fillId="2" borderId="0" xfId="0" applyNumberFormat="1" applyFont="1" applyFill="1" applyAlignment="1">
      <alignment vertical="center"/>
    </xf>
    <xf numFmtId="4" fontId="23" fillId="2" borderId="0" xfId="0" applyNumberFormat="1" applyFont="1" applyFill="1" applyAlignment="1">
      <alignment horizontal="right" vertical="center"/>
    </xf>
    <xf numFmtId="0" fontId="22" fillId="2" borderId="0" xfId="0" applyFont="1" applyFill="1" applyAlignment="1"/>
    <xf numFmtId="0" fontId="25" fillId="2" borderId="0" xfId="0" applyFont="1" applyFill="1"/>
    <xf numFmtId="4" fontId="23" fillId="2" borderId="0" xfId="0" applyNumberFormat="1" applyFont="1" applyFill="1" applyAlignment="1"/>
    <xf numFmtId="4" fontId="23" fillId="2" borderId="0" xfId="0" applyNumberFormat="1" applyFont="1" applyFill="1" applyAlignment="1" applyProtection="1">
      <alignment vertical="center"/>
      <protection locked="0"/>
    </xf>
    <xf numFmtId="0" fontId="22" fillId="2" borderId="0" xfId="0" applyFont="1" applyFill="1" applyProtection="1"/>
    <xf numFmtId="166" fontId="23" fillId="2" borderId="0" xfId="0" applyNumberFormat="1" applyFont="1" applyFill="1" applyAlignment="1" applyProtection="1">
      <alignment horizontal="left"/>
    </xf>
    <xf numFmtId="4" fontId="23" fillId="2" borderId="0" xfId="0" applyNumberFormat="1" applyFont="1" applyFill="1" applyAlignment="1" applyProtection="1"/>
    <xf numFmtId="0" fontId="26" fillId="2" borderId="0" xfId="0" applyFont="1" applyFill="1" applyAlignment="1">
      <alignment horizontal="left" wrapText="1"/>
    </xf>
    <xf numFmtId="0" fontId="18" fillId="0" borderId="0" xfId="0" applyFont="1"/>
    <xf numFmtId="0" fontId="23" fillId="0" borderId="0" xfId="0" applyFont="1"/>
    <xf numFmtId="0" fontId="21" fillId="2" borderId="0" xfId="0" applyFont="1" applyFill="1" applyAlignment="1"/>
    <xf numFmtId="0" fontId="27" fillId="6" borderId="7" xfId="0" applyFont="1" applyFill="1" applyBorder="1" applyAlignment="1">
      <alignment horizontal="center"/>
    </xf>
    <xf numFmtId="0" fontId="27" fillId="6" borderId="22" xfId="0" applyFont="1" applyFill="1" applyBorder="1" applyAlignment="1">
      <alignment horizontal="center"/>
    </xf>
    <xf numFmtId="0" fontId="27" fillId="6" borderId="4" xfId="0" applyFont="1" applyFill="1" applyBorder="1" applyAlignment="1">
      <alignment horizontal="center"/>
    </xf>
    <xf numFmtId="0" fontId="27" fillId="6" borderId="25" xfId="0" applyFont="1" applyFill="1" applyBorder="1" applyAlignment="1">
      <alignment horizontal="center"/>
    </xf>
    <xf numFmtId="0" fontId="26" fillId="6" borderId="25" xfId="0" applyFont="1" applyFill="1" applyBorder="1"/>
    <xf numFmtId="168" fontId="26" fillId="6" borderId="25" xfId="0" applyNumberFormat="1" applyFont="1" applyFill="1" applyBorder="1" applyAlignment="1">
      <alignment horizontal="center" vertical="center"/>
    </xf>
    <xf numFmtId="164" fontId="27" fillId="6" borderId="26" xfId="0" applyNumberFormat="1" applyFont="1" applyFill="1" applyBorder="1" applyAlignment="1">
      <alignment horizontal="center" vertical="center"/>
    </xf>
    <xf numFmtId="0" fontId="27" fillId="6" borderId="25" xfId="0" applyFont="1" applyFill="1" applyBorder="1" applyAlignment="1">
      <alignment horizontal="center" vertical="center"/>
    </xf>
    <xf numFmtId="0" fontId="26" fillId="6" borderId="25" xfId="0" applyFont="1" applyFill="1" applyBorder="1" applyAlignment="1">
      <alignment vertical="center"/>
    </xf>
    <xf numFmtId="0" fontId="22" fillId="0" borderId="0" xfId="0" applyFont="1" applyAlignment="1">
      <alignment vertical="center"/>
    </xf>
    <xf numFmtId="49" fontId="5" fillId="2" borderId="0" xfId="0" applyNumberFormat="1" applyFont="1" applyFill="1" applyAlignment="1">
      <alignment horizontal="left"/>
    </xf>
    <xf numFmtId="0" fontId="22" fillId="2" borderId="0" xfId="0" applyFont="1" applyFill="1" applyBorder="1"/>
    <xf numFmtId="4" fontId="26" fillId="2" borderId="4" xfId="1" applyNumberFormat="1" applyFont="1" applyFill="1" applyBorder="1" applyAlignment="1" applyProtection="1">
      <alignment horizontal="center" vertical="center"/>
      <protection locked="0"/>
    </xf>
    <xf numFmtId="0" fontId="17" fillId="0" borderId="0" xfId="2" applyFont="1" applyProtection="1">
      <protection locked="0"/>
    </xf>
    <xf numFmtId="0" fontId="17" fillId="0" borderId="0" xfId="2" applyFont="1"/>
    <xf numFmtId="0" fontId="29" fillId="0" borderId="0" xfId="2" applyFont="1"/>
    <xf numFmtId="0" fontId="19" fillId="0" borderId="0" xfId="2" applyFont="1"/>
    <xf numFmtId="0" fontId="30" fillId="0" borderId="0" xfId="4" applyFont="1"/>
    <xf numFmtId="0" fontId="31" fillId="0" borderId="0" xfId="4" applyFont="1"/>
    <xf numFmtId="0" fontId="32" fillId="0" borderId="0" xfId="2" applyFont="1"/>
    <xf numFmtId="0" fontId="20" fillId="0" borderId="0" xfId="4" applyFont="1"/>
    <xf numFmtId="0" fontId="33" fillId="0" borderId="0" xfId="4" applyFont="1"/>
    <xf numFmtId="4" fontId="17" fillId="0" borderId="0" xfId="2" applyNumberFormat="1" applyFont="1"/>
    <xf numFmtId="0" fontId="20" fillId="0" borderId="0" xfId="4" applyFont="1" applyProtection="1">
      <protection locked="0"/>
    </xf>
    <xf numFmtId="0" fontId="18" fillId="0" borderId="31" xfId="2" applyFont="1" applyBorder="1" applyAlignment="1">
      <alignment wrapText="1"/>
    </xf>
    <xf numFmtId="0" fontId="17" fillId="0" borderId="4" xfId="2" applyFont="1" applyBorder="1" applyAlignment="1">
      <alignment wrapText="1"/>
    </xf>
    <xf numFmtId="0" fontId="17" fillId="0" borderId="0" xfId="2" applyFont="1" applyAlignment="1">
      <alignment wrapText="1"/>
    </xf>
    <xf numFmtId="0" fontId="17" fillId="0" borderId="0" xfId="2" applyFont="1" applyAlignment="1" applyProtection="1">
      <alignment wrapText="1"/>
      <protection locked="0"/>
    </xf>
    <xf numFmtId="0" fontId="34" fillId="0" borderId="4" xfId="2" applyFont="1" applyBorder="1" applyAlignment="1">
      <alignment wrapText="1"/>
    </xf>
    <xf numFmtId="0" fontId="17" fillId="0" borderId="4" xfId="2" applyFont="1" applyBorder="1" applyAlignment="1" applyProtection="1">
      <alignment wrapText="1"/>
      <protection locked="0"/>
    </xf>
    <xf numFmtId="4" fontId="17" fillId="0" borderId="4" xfId="2" applyNumberFormat="1" applyFont="1" applyBorder="1" applyAlignment="1" applyProtection="1">
      <alignment wrapText="1"/>
      <protection locked="0"/>
    </xf>
    <xf numFmtId="0" fontId="35" fillId="3" borderId="14" xfId="2" applyFont="1" applyFill="1" applyBorder="1" applyAlignment="1">
      <alignment horizontal="center" wrapText="1"/>
    </xf>
    <xf numFmtId="0" fontId="34" fillId="0" borderId="0" xfId="2" applyFont="1" applyAlignment="1">
      <alignment wrapText="1"/>
    </xf>
    <xf numFmtId="4" fontId="17" fillId="0" borderId="0" xfId="2" applyNumberFormat="1" applyFont="1" applyAlignment="1">
      <alignment horizontal="left"/>
    </xf>
    <xf numFmtId="0" fontId="34" fillId="0" borderId="4" xfId="0" applyFont="1" applyBorder="1" applyAlignment="1">
      <alignment wrapText="1"/>
    </xf>
    <xf numFmtId="0" fontId="18" fillId="7" borderId="0" xfId="2" applyFont="1" applyFill="1" applyAlignment="1" applyProtection="1">
      <alignment vertical="center" wrapText="1"/>
      <protection locked="0"/>
    </xf>
    <xf numFmtId="0" fontId="36" fillId="0" borderId="4" xfId="2" applyFont="1" applyBorder="1" applyAlignment="1">
      <alignment wrapText="1"/>
    </xf>
    <xf numFmtId="0" fontId="17" fillId="4" borderId="0" xfId="2" applyFont="1" applyFill="1" applyAlignment="1" applyProtection="1">
      <alignment wrapText="1"/>
      <protection locked="0"/>
    </xf>
    <xf numFmtId="0" fontId="18" fillId="0" borderId="0" xfId="2" applyFont="1" applyAlignment="1">
      <alignment wrapText="1"/>
    </xf>
    <xf numFmtId="0" fontId="18" fillId="0" borderId="32" xfId="2" applyFont="1" applyBorder="1" applyAlignment="1">
      <alignment horizontal="center" vertical="center" wrapText="1"/>
    </xf>
    <xf numFmtId="0" fontId="18" fillId="0" borderId="30" xfId="2" applyFont="1" applyBorder="1" applyAlignment="1">
      <alignment horizontal="center" vertical="center" wrapText="1"/>
    </xf>
    <xf numFmtId="0" fontId="37" fillId="0" borderId="30" xfId="2" applyFont="1" applyBorder="1" applyAlignment="1">
      <alignment horizontal="center" vertical="center" wrapText="1"/>
    </xf>
    <xf numFmtId="0" fontId="18" fillId="0" borderId="13" xfId="2" applyFont="1" applyBorder="1" applyAlignment="1">
      <alignment horizontal="center" vertical="center" wrapText="1"/>
    </xf>
    <xf numFmtId="0" fontId="18" fillId="0" borderId="8" xfId="2" applyFont="1" applyBorder="1" applyAlignment="1">
      <alignment horizontal="center" vertical="center" wrapText="1"/>
    </xf>
    <xf numFmtId="0" fontId="18" fillId="0" borderId="33" xfId="2" applyFont="1" applyBorder="1" applyAlignment="1">
      <alignment horizontal="center" vertical="center" wrapText="1"/>
    </xf>
    <xf numFmtId="0" fontId="18" fillId="0" borderId="34" xfId="2" applyFont="1" applyBorder="1" applyAlignment="1">
      <alignment horizontal="center" vertical="center" wrapText="1"/>
    </xf>
    <xf numFmtId="0" fontId="18" fillId="3" borderId="35" xfId="2" applyFont="1" applyFill="1" applyBorder="1" applyAlignment="1">
      <alignment horizontal="center" vertical="center" wrapText="1"/>
    </xf>
    <xf numFmtId="0" fontId="18" fillId="3" borderId="36" xfId="2" applyFont="1" applyFill="1" applyBorder="1" applyAlignment="1">
      <alignment horizontal="center" vertical="center" wrapText="1"/>
    </xf>
    <xf numFmtId="0" fontId="18" fillId="8" borderId="8" xfId="2" applyFont="1" applyFill="1" applyBorder="1" applyAlignment="1">
      <alignment horizontal="center" vertical="center" wrapText="1"/>
    </xf>
    <xf numFmtId="0" fontId="18" fillId="8" borderId="36" xfId="2" applyFont="1" applyFill="1" applyBorder="1" applyAlignment="1">
      <alignment horizontal="center" vertical="center" wrapText="1"/>
    </xf>
    <xf numFmtId="0" fontId="18" fillId="0" borderId="0" xfId="2" applyFont="1" applyAlignment="1" applyProtection="1">
      <alignment wrapText="1"/>
      <protection locked="0"/>
    </xf>
    <xf numFmtId="9" fontId="34" fillId="0" borderId="4" xfId="2" applyNumberFormat="1" applyFont="1" applyBorder="1" applyAlignment="1" applyProtection="1">
      <alignment horizontal="center" wrapText="1"/>
      <protection locked="0"/>
    </xf>
    <xf numFmtId="0" fontId="18" fillId="0" borderId="37" xfId="2" applyFont="1" applyBorder="1" applyAlignment="1">
      <alignment wrapText="1"/>
    </xf>
    <xf numFmtId="3" fontId="8" fillId="0" borderId="9" xfId="0" applyNumberFormat="1" applyFont="1" applyBorder="1" applyAlignment="1">
      <alignment wrapText="1"/>
    </xf>
    <xf numFmtId="0" fontId="18" fillId="0" borderId="22" xfId="2" applyFont="1" applyBorder="1" applyAlignment="1">
      <alignment wrapText="1"/>
    </xf>
    <xf numFmtId="0" fontId="18" fillId="0" borderId="6" xfId="2" applyFont="1" applyBorder="1" applyAlignment="1">
      <alignment wrapText="1"/>
    </xf>
    <xf numFmtId="0" fontId="35" fillId="0" borderId="38" xfId="2" applyFont="1" applyBorder="1" applyAlignment="1">
      <alignment wrapText="1"/>
    </xf>
    <xf numFmtId="166" fontId="36" fillId="0" borderId="37" xfId="2" applyNumberFormat="1" applyFont="1" applyBorder="1" applyAlignment="1">
      <alignment wrapText="1"/>
    </xf>
    <xf numFmtId="4" fontId="38" fillId="0" borderId="23" xfId="2" applyNumberFormat="1" applyFont="1" applyBorder="1" applyAlignment="1">
      <alignment horizontal="right" wrapText="1"/>
    </xf>
    <xf numFmtId="166" fontId="36" fillId="9" borderId="22" xfId="2" applyNumberFormat="1" applyFont="1" applyFill="1" applyBorder="1" applyAlignment="1">
      <alignment wrapText="1"/>
    </xf>
    <xf numFmtId="4" fontId="38" fillId="0" borderId="22" xfId="2" applyNumberFormat="1" applyFont="1" applyBorder="1" applyAlignment="1">
      <alignment horizontal="right" wrapText="1"/>
    </xf>
    <xf numFmtId="0" fontId="39" fillId="0" borderId="22" xfId="2" applyFont="1" applyBorder="1" applyAlignment="1">
      <alignment horizontal="right" wrapText="1"/>
    </xf>
    <xf numFmtId="0" fontId="35" fillId="0" borderId="22" xfId="2" applyFont="1" applyBorder="1" applyAlignment="1">
      <alignment wrapText="1"/>
    </xf>
    <xf numFmtId="4" fontId="17" fillId="0" borderId="0" xfId="2" applyNumberFormat="1" applyFont="1" applyAlignment="1" applyProtection="1">
      <alignment wrapText="1"/>
      <protection locked="0"/>
    </xf>
    <xf numFmtId="2" fontId="40" fillId="0" borderId="0" xfId="2" applyNumberFormat="1" applyFont="1" applyAlignment="1">
      <alignment wrapText="1"/>
    </xf>
    <xf numFmtId="0" fontId="18" fillId="10" borderId="40" xfId="2" applyFont="1" applyFill="1" applyBorder="1" applyAlignment="1">
      <alignment wrapText="1"/>
    </xf>
    <xf numFmtId="4" fontId="17" fillId="6" borderId="14" xfId="2" applyNumberFormat="1" applyFont="1" applyFill="1" applyBorder="1" applyAlignment="1">
      <alignment horizontal="right" wrapText="1"/>
    </xf>
    <xf numFmtId="4" fontId="17" fillId="0" borderId="14" xfId="2" applyNumberFormat="1" applyFont="1" applyBorder="1" applyAlignment="1">
      <alignment horizontal="right" wrapText="1"/>
    </xf>
    <xf numFmtId="0" fontId="18" fillId="0" borderId="4" xfId="2" applyFont="1" applyBorder="1" applyAlignment="1">
      <alignment wrapText="1"/>
    </xf>
    <xf numFmtId="0" fontId="35" fillId="0" borderId="41" xfId="2" applyFont="1" applyBorder="1" applyAlignment="1">
      <alignment wrapText="1"/>
    </xf>
    <xf numFmtId="166" fontId="36" fillId="0" borderId="40" xfId="2" applyNumberFormat="1" applyFont="1" applyBorder="1" applyAlignment="1">
      <alignment wrapText="1"/>
    </xf>
    <xf numFmtId="4" fontId="38" fillId="0" borderId="24" xfId="2" applyNumberFormat="1" applyFont="1" applyBorder="1" applyAlignment="1">
      <alignment horizontal="right" wrapText="1"/>
    </xf>
    <xf numFmtId="4" fontId="38" fillId="0" borderId="4" xfId="2" applyNumberFormat="1" applyFont="1" applyBorder="1" applyAlignment="1">
      <alignment horizontal="right" wrapText="1"/>
    </xf>
    <xf numFmtId="2" fontId="39" fillId="0" borderId="4" xfId="2" applyNumberFormat="1" applyFont="1" applyBorder="1" applyAlignment="1">
      <alignment horizontal="right" wrapText="1"/>
    </xf>
    <xf numFmtId="0" fontId="35" fillId="0" borderId="4" xfId="2" applyFont="1" applyBorder="1" applyAlignment="1">
      <alignment wrapText="1"/>
    </xf>
    <xf numFmtId="0" fontId="18" fillId="0" borderId="19" xfId="2" applyFont="1" applyBorder="1" applyAlignment="1">
      <alignment wrapText="1"/>
    </xf>
    <xf numFmtId="4" fontId="17" fillId="0" borderId="4" xfId="2" applyNumberFormat="1" applyFont="1" applyBorder="1" applyAlignment="1">
      <alignment horizontal="right" wrapText="1"/>
    </xf>
    <xf numFmtId="0" fontId="18" fillId="0" borderId="16" xfId="2" applyFont="1" applyBorder="1" applyAlignment="1">
      <alignment wrapText="1"/>
    </xf>
    <xf numFmtId="4" fontId="17" fillId="0" borderId="15" xfId="2" applyNumberFormat="1" applyFont="1" applyBorder="1" applyAlignment="1">
      <alignment horizontal="right" wrapText="1"/>
    </xf>
    <xf numFmtId="0" fontId="18" fillId="0" borderId="15" xfId="2" applyFont="1" applyBorder="1" applyAlignment="1">
      <alignment wrapText="1"/>
    </xf>
    <xf numFmtId="0" fontId="34" fillId="0" borderId="43" xfId="2" applyFont="1" applyBorder="1" applyAlignment="1">
      <alignment wrapText="1"/>
    </xf>
    <xf numFmtId="166" fontId="36" fillId="0" borderId="19" xfId="2" applyNumberFormat="1" applyFont="1" applyBorder="1" applyAlignment="1">
      <alignment wrapText="1"/>
    </xf>
    <xf numFmtId="4" fontId="38" fillId="0" borderId="20" xfId="2" applyNumberFormat="1" applyFont="1" applyBorder="1" applyAlignment="1">
      <alignment horizontal="right" wrapText="1"/>
    </xf>
    <xf numFmtId="4" fontId="38" fillId="0" borderId="9" xfId="2" applyNumberFormat="1" applyFont="1" applyBorder="1" applyAlignment="1">
      <alignment horizontal="right" wrapText="1"/>
    </xf>
    <xf numFmtId="166" fontId="36" fillId="0" borderId="4" xfId="2" applyNumberFormat="1" applyFont="1" applyBorder="1" applyAlignment="1">
      <alignment wrapText="1"/>
    </xf>
    <xf numFmtId="166" fontId="36" fillId="0" borderId="9" xfId="2" applyNumberFormat="1" applyFont="1" applyBorder="1" applyAlignment="1">
      <alignment horizontal="right" wrapText="1"/>
    </xf>
    <xf numFmtId="0" fontId="18" fillId="0" borderId="4" xfId="2" applyFont="1" applyBorder="1" applyAlignment="1">
      <alignment horizontal="left" wrapText="1"/>
    </xf>
    <xf numFmtId="0" fontId="18" fillId="0" borderId="40" xfId="2" applyFont="1" applyBorder="1" applyAlignment="1">
      <alignment wrapText="1"/>
    </xf>
    <xf numFmtId="0" fontId="18" fillId="0" borderId="42" xfId="2" applyFont="1" applyBorder="1" applyAlignment="1">
      <alignment wrapText="1"/>
    </xf>
    <xf numFmtId="4" fontId="17" fillId="0" borderId="44" xfId="2" applyNumberFormat="1" applyFont="1" applyBorder="1" applyAlignment="1">
      <alignment horizontal="right" wrapText="1"/>
    </xf>
    <xf numFmtId="0" fontId="18" fillId="0" borderId="44" xfId="2" applyFont="1" applyBorder="1" applyAlignment="1">
      <alignment wrapText="1"/>
    </xf>
    <xf numFmtId="0" fontId="35" fillId="0" borderId="42" xfId="2" applyFont="1" applyBorder="1" applyAlignment="1">
      <alignment wrapText="1"/>
    </xf>
    <xf numFmtId="0" fontId="17" fillId="0" borderId="4" xfId="2" applyBorder="1" applyAlignment="1">
      <alignment wrapText="1"/>
    </xf>
    <xf numFmtId="0" fontId="18" fillId="0" borderId="45" xfId="2" applyFont="1" applyBorder="1" applyAlignment="1">
      <alignment wrapText="1"/>
    </xf>
    <xf numFmtId="4" fontId="17" fillId="0" borderId="7" xfId="2" applyNumberFormat="1" applyFont="1" applyBorder="1" applyAlignment="1">
      <alignment horizontal="right" wrapText="1"/>
    </xf>
    <xf numFmtId="0" fontId="18" fillId="0" borderId="46" xfId="2" applyFont="1" applyBorder="1" applyAlignment="1">
      <alignment wrapText="1"/>
    </xf>
    <xf numFmtId="4" fontId="17" fillId="0" borderId="47" xfId="2" applyNumberFormat="1" applyFont="1" applyBorder="1" applyAlignment="1">
      <alignment horizontal="right" wrapText="1"/>
    </xf>
    <xf numFmtId="0" fontId="18" fillId="0" borderId="47" xfId="2" applyFont="1" applyBorder="1" applyAlignment="1">
      <alignment wrapText="1"/>
    </xf>
    <xf numFmtId="0" fontId="34" fillId="0" borderId="48" xfId="2" applyFont="1" applyBorder="1" applyAlignment="1">
      <alignment wrapText="1"/>
    </xf>
    <xf numFmtId="166" fontId="36" fillId="0" borderId="45" xfId="2" applyNumberFormat="1" applyFont="1" applyBorder="1" applyAlignment="1">
      <alignment wrapText="1"/>
    </xf>
    <xf numFmtId="4" fontId="38" fillId="0" borderId="3" xfId="2" applyNumberFormat="1" applyFont="1" applyBorder="1" applyAlignment="1">
      <alignment horizontal="right" wrapText="1"/>
    </xf>
    <xf numFmtId="4" fontId="38" fillId="0" borderId="2" xfId="2" applyNumberFormat="1" applyFont="1" applyBorder="1" applyAlignment="1">
      <alignment horizontal="right" wrapText="1"/>
    </xf>
    <xf numFmtId="2" fontId="39" fillId="0" borderId="2" xfId="2" applyNumberFormat="1" applyFont="1" applyBorder="1" applyAlignment="1">
      <alignment horizontal="right" wrapText="1"/>
    </xf>
    <xf numFmtId="0" fontId="34" fillId="0" borderId="46" xfId="2" applyFont="1" applyBorder="1" applyAlignment="1">
      <alignment wrapText="1"/>
    </xf>
    <xf numFmtId="4" fontId="38" fillId="0" borderId="46" xfId="2" applyNumberFormat="1" applyFont="1" applyBorder="1" applyAlignment="1">
      <alignment horizontal="right" wrapText="1"/>
    </xf>
    <xf numFmtId="4" fontId="18" fillId="0" borderId="4" xfId="2" applyNumberFormat="1" applyFont="1" applyBorder="1" applyAlignment="1">
      <alignment wrapText="1"/>
    </xf>
    <xf numFmtId="0" fontId="41" fillId="0" borderId="0" xfId="2" applyFont="1" applyAlignment="1">
      <alignment wrapText="1"/>
    </xf>
    <xf numFmtId="2" fontId="41" fillId="0" borderId="0" xfId="2" applyNumberFormat="1" applyFont="1" applyAlignment="1">
      <alignment wrapText="1"/>
    </xf>
    <xf numFmtId="4" fontId="17" fillId="0" borderId="22" xfId="2" applyNumberFormat="1" applyFont="1" applyBorder="1" applyAlignment="1">
      <alignment horizontal="right" wrapText="1"/>
    </xf>
    <xf numFmtId="14" fontId="17" fillId="0" borderId="16" xfId="2" applyNumberFormat="1" applyBorder="1" applyAlignment="1">
      <alignment wrapText="1"/>
    </xf>
    <xf numFmtId="0" fontId="17" fillId="0" borderId="16" xfId="2" applyBorder="1" applyAlignment="1">
      <alignment wrapText="1"/>
    </xf>
    <xf numFmtId="0" fontId="17" fillId="0" borderId="15" xfId="2" applyBorder="1" applyAlignment="1">
      <alignment wrapText="1"/>
    </xf>
    <xf numFmtId="171" fontId="18" fillId="0" borderId="4" xfId="2" applyNumberFormat="1" applyFont="1" applyBorder="1" applyAlignment="1">
      <alignment wrapText="1"/>
    </xf>
    <xf numFmtId="0" fontId="17" fillId="0" borderId="44" xfId="2" applyBorder="1" applyAlignment="1">
      <alignment wrapText="1"/>
    </xf>
    <xf numFmtId="0" fontId="34" fillId="0" borderId="16" xfId="2" applyFont="1" applyBorder="1" applyAlignment="1">
      <alignment wrapText="1"/>
    </xf>
    <xf numFmtId="0" fontId="18" fillId="0" borderId="4" xfId="2" applyFont="1" applyBorder="1" applyAlignment="1" applyProtection="1">
      <alignment wrapText="1"/>
      <protection locked="0"/>
    </xf>
    <xf numFmtId="0" fontId="0" fillId="0" borderId="4" xfId="0" applyBorder="1" applyAlignment="1">
      <alignment wrapText="1"/>
    </xf>
    <xf numFmtId="172" fontId="42" fillId="0" borderId="4" xfId="5" applyNumberFormat="1" applyFont="1" applyFill="1" applyBorder="1" applyAlignment="1">
      <alignment wrapText="1"/>
    </xf>
    <xf numFmtId="9" fontId="17" fillId="0" borderId="0" xfId="5" applyFont="1" applyAlignment="1" applyProtection="1">
      <alignment wrapText="1"/>
      <protection locked="0"/>
    </xf>
    <xf numFmtId="4" fontId="38" fillId="0" borderId="24" xfId="2" applyNumberFormat="1" applyFont="1" applyBorder="1" applyAlignment="1">
      <alignment wrapText="1"/>
    </xf>
    <xf numFmtId="4" fontId="38" fillId="0" borderId="4" xfId="2" applyNumberFormat="1" applyFont="1" applyBorder="1" applyAlignment="1">
      <alignment wrapText="1"/>
    </xf>
    <xf numFmtId="2" fontId="39" fillId="0" borderId="4" xfId="2" applyNumberFormat="1" applyFont="1" applyBorder="1" applyAlignment="1">
      <alignment wrapText="1"/>
    </xf>
    <xf numFmtId="0" fontId="31" fillId="0" borderId="0" xfId="2" applyFont="1" applyAlignment="1" applyProtection="1">
      <alignment wrapText="1"/>
      <protection locked="0"/>
    </xf>
    <xf numFmtId="0" fontId="17" fillId="4" borderId="4" xfId="2" applyFont="1" applyFill="1" applyBorder="1" applyAlignment="1" applyProtection="1">
      <alignment horizontal="center" vertical="center" wrapText="1"/>
      <protection locked="0"/>
    </xf>
    <xf numFmtId="0" fontId="18" fillId="0" borderId="29" xfId="2" applyFont="1" applyBorder="1" applyAlignment="1">
      <alignment wrapText="1"/>
    </xf>
    <xf numFmtId="4" fontId="17" fillId="0" borderId="2" xfId="2" applyNumberFormat="1" applyFont="1" applyBorder="1" applyAlignment="1">
      <alignment horizontal="right" wrapText="1"/>
    </xf>
    <xf numFmtId="14" fontId="17" fillId="0" borderId="46" xfId="2" applyNumberFormat="1" applyBorder="1" applyAlignment="1">
      <alignment wrapText="1"/>
    </xf>
    <xf numFmtId="14" fontId="17" fillId="0" borderId="2" xfId="2" applyNumberFormat="1" applyBorder="1" applyAlignment="1">
      <alignment wrapText="1"/>
    </xf>
    <xf numFmtId="4" fontId="17" fillId="0" borderId="0" xfId="2" applyNumberFormat="1" applyFont="1" applyAlignment="1">
      <alignment horizontal="right" wrapText="1"/>
    </xf>
    <xf numFmtId="0" fontId="17" fillId="0" borderId="10" xfId="2" applyBorder="1" applyAlignment="1">
      <alignment wrapText="1"/>
    </xf>
    <xf numFmtId="0" fontId="34" fillId="0" borderId="33" xfId="2" applyFont="1" applyBorder="1" applyAlignment="1">
      <alignment wrapText="1"/>
    </xf>
    <xf numFmtId="166" fontId="36" fillId="0" borderId="29" xfId="2" applyNumberFormat="1" applyFont="1" applyBorder="1" applyAlignment="1">
      <alignment wrapText="1"/>
    </xf>
    <xf numFmtId="4" fontId="38" fillId="0" borderId="21" xfId="2" applyNumberFormat="1" applyFont="1" applyBorder="1" applyAlignment="1">
      <alignment wrapText="1"/>
    </xf>
    <xf numFmtId="166" fontId="34" fillId="0" borderId="45" xfId="2" applyNumberFormat="1" applyFont="1" applyBorder="1" applyAlignment="1">
      <alignment wrapText="1"/>
    </xf>
    <xf numFmtId="4" fontId="38" fillId="0" borderId="7" xfId="2" applyNumberFormat="1" applyFont="1" applyBorder="1" applyAlignment="1">
      <alignment wrapText="1"/>
    </xf>
    <xf numFmtId="2" fontId="39" fillId="0" borderId="7" xfId="2" applyNumberFormat="1" applyFont="1" applyBorder="1" applyAlignment="1">
      <alignment wrapText="1"/>
    </xf>
    <xf numFmtId="0" fontId="31" fillId="0" borderId="0" xfId="2" applyFont="1" applyAlignment="1">
      <alignment wrapText="1"/>
    </xf>
    <xf numFmtId="4" fontId="17" fillId="0" borderId="9" xfId="2" applyNumberFormat="1" applyFont="1" applyBorder="1" applyAlignment="1">
      <alignment horizontal="right" wrapText="1"/>
    </xf>
    <xf numFmtId="165" fontId="17" fillId="0" borderId="39" xfId="2" applyNumberFormat="1" applyBorder="1" applyAlignment="1">
      <alignment wrapText="1"/>
    </xf>
    <xf numFmtId="3" fontId="17" fillId="11" borderId="49" xfId="2" applyNumberFormat="1" applyFont="1" applyFill="1" applyBorder="1" applyAlignment="1">
      <alignment horizontal="right" wrapText="1"/>
    </xf>
    <xf numFmtId="166" fontId="20" fillId="0" borderId="6" xfId="2" applyNumberFormat="1" applyFont="1" applyBorder="1" applyAlignment="1">
      <alignment wrapText="1"/>
    </xf>
    <xf numFmtId="166" fontId="36" fillId="0" borderId="38" xfId="2" applyNumberFormat="1" applyFont="1" applyBorder="1" applyAlignment="1">
      <alignment wrapText="1"/>
    </xf>
    <xf numFmtId="4" fontId="38" fillId="0" borderId="23" xfId="2" applyNumberFormat="1" applyFont="1" applyBorder="1" applyAlignment="1">
      <alignment wrapText="1"/>
    </xf>
    <xf numFmtId="4" fontId="38" fillId="0" borderId="22" xfId="2" applyNumberFormat="1" applyFont="1" applyBorder="1" applyAlignment="1">
      <alignment wrapText="1"/>
    </xf>
    <xf numFmtId="4" fontId="43" fillId="0" borderId="4" xfId="2" applyNumberFormat="1" applyFont="1" applyBorder="1" applyAlignment="1">
      <alignment horizontal="right" wrapText="1"/>
    </xf>
    <xf numFmtId="165" fontId="17" fillId="0" borderId="42" xfId="2" applyNumberFormat="1" applyBorder="1" applyAlignment="1">
      <alignment wrapText="1"/>
    </xf>
    <xf numFmtId="3" fontId="17" fillId="11" borderId="44" xfId="2" applyNumberFormat="1" applyFont="1" applyFill="1" applyBorder="1" applyAlignment="1">
      <alignment horizontal="right" wrapText="1"/>
    </xf>
    <xf numFmtId="166" fontId="20" fillId="0" borderId="31" xfId="2" applyNumberFormat="1" applyFont="1" applyBorder="1" applyAlignment="1">
      <alignment wrapText="1"/>
    </xf>
    <xf numFmtId="166" fontId="36" fillId="0" borderId="41" xfId="2" applyNumberFormat="1" applyFont="1" applyBorder="1" applyAlignment="1">
      <alignment wrapText="1"/>
    </xf>
    <xf numFmtId="165" fontId="17" fillId="0" borderId="46" xfId="2" applyNumberFormat="1" applyBorder="1" applyAlignment="1">
      <alignment wrapText="1"/>
    </xf>
    <xf numFmtId="3" fontId="17" fillId="11" borderId="47" xfId="2" applyNumberFormat="1" applyFont="1" applyFill="1" applyBorder="1" applyAlignment="1">
      <alignment horizontal="right" wrapText="1"/>
    </xf>
    <xf numFmtId="167" fontId="20" fillId="0" borderId="50" xfId="2" applyNumberFormat="1" applyFont="1" applyBorder="1" applyAlignment="1">
      <alignment wrapText="1"/>
    </xf>
    <xf numFmtId="166" fontId="36" fillId="0" borderId="48" xfId="2" applyNumberFormat="1" applyFont="1" applyBorder="1" applyAlignment="1">
      <alignment wrapText="1"/>
    </xf>
    <xf numFmtId="4" fontId="38" fillId="0" borderId="3" xfId="2" applyNumberFormat="1" applyFont="1" applyBorder="1" applyAlignment="1">
      <alignment wrapText="1"/>
    </xf>
    <xf numFmtId="166" fontId="17" fillId="0" borderId="0" xfId="2" applyNumberFormat="1" applyFont="1" applyAlignment="1" applyProtection="1">
      <alignment wrapText="1"/>
      <protection locked="0"/>
    </xf>
    <xf numFmtId="0" fontId="18" fillId="0" borderId="32" xfId="2" applyFont="1" applyBorder="1" applyAlignment="1">
      <alignment wrapText="1"/>
    </xf>
    <xf numFmtId="4" fontId="17" fillId="0" borderId="5" xfId="2" applyNumberFormat="1" applyFont="1" applyBorder="1" applyAlignment="1">
      <alignment horizontal="right" wrapText="1"/>
    </xf>
    <xf numFmtId="0" fontId="18" fillId="0" borderId="18" xfId="2" applyFont="1" applyBorder="1" applyAlignment="1">
      <alignment wrapText="1"/>
    </xf>
    <xf numFmtId="0" fontId="18" fillId="0" borderId="27" xfId="2" applyFont="1" applyBorder="1" applyAlignment="1">
      <alignment wrapText="1"/>
    </xf>
    <xf numFmtId="0" fontId="17" fillId="0" borderId="51" xfId="2" applyBorder="1" applyAlignment="1">
      <alignment wrapText="1"/>
    </xf>
    <xf numFmtId="3" fontId="17" fillId="0" borderId="0" xfId="2" applyNumberFormat="1" applyFont="1" applyAlignment="1">
      <alignment horizontal="right" wrapText="1"/>
    </xf>
    <xf numFmtId="0" fontId="18" fillId="0" borderId="52" xfId="2" applyFont="1" applyBorder="1" applyAlignment="1">
      <alignment wrapText="1"/>
    </xf>
    <xf numFmtId="0" fontId="34" fillId="0" borderId="53" xfId="2" applyFont="1" applyBorder="1" applyAlignment="1">
      <alignment wrapText="1"/>
    </xf>
    <xf numFmtId="166" fontId="36" fillId="0" borderId="32" xfId="2" applyNumberFormat="1" applyFont="1" applyBorder="1" applyAlignment="1">
      <alignment horizontal="center" wrapText="1"/>
    </xf>
    <xf numFmtId="0" fontId="18" fillId="0" borderId="34" xfId="2" applyFont="1" applyBorder="1" applyAlignment="1">
      <alignment wrapText="1"/>
    </xf>
    <xf numFmtId="4" fontId="17" fillId="0" borderId="54" xfId="2" applyNumberFormat="1" applyBorder="1" applyAlignment="1">
      <alignment wrapText="1"/>
    </xf>
    <xf numFmtId="3" fontId="17" fillId="0" borderId="54" xfId="2" applyNumberFormat="1" applyBorder="1" applyAlignment="1" applyProtection="1">
      <alignment wrapText="1"/>
      <protection locked="0"/>
    </xf>
    <xf numFmtId="0" fontId="18" fillId="0" borderId="54" xfId="2" applyFont="1" applyBorder="1" applyAlignment="1" applyProtection="1">
      <alignment wrapText="1"/>
      <protection locked="0"/>
    </xf>
    <xf numFmtId="0" fontId="18" fillId="0" borderId="54" xfId="2" applyFont="1" applyBorder="1" applyAlignment="1">
      <alignment wrapText="1"/>
    </xf>
    <xf numFmtId="3" fontId="17" fillId="0" borderId="54" xfId="2" applyNumberFormat="1" applyBorder="1" applyAlignment="1">
      <alignment wrapText="1"/>
    </xf>
    <xf numFmtId="0" fontId="18" fillId="0" borderId="55" xfId="2" applyFont="1" applyBorder="1" applyAlignment="1">
      <alignment wrapText="1"/>
    </xf>
    <xf numFmtId="0" fontId="35" fillId="0" borderId="54" xfId="2" applyFont="1" applyBorder="1" applyAlignment="1">
      <alignment wrapText="1"/>
    </xf>
    <xf numFmtId="0" fontId="36" fillId="0" borderId="28" xfId="2" applyFont="1" applyBorder="1" applyAlignment="1">
      <alignment wrapText="1"/>
    </xf>
    <xf numFmtId="0" fontId="38" fillId="0" borderId="56" xfId="2" applyFont="1" applyBorder="1" applyAlignment="1">
      <alignment wrapText="1"/>
    </xf>
    <xf numFmtId="0" fontId="36" fillId="0" borderId="54" xfId="2" applyFont="1" applyBorder="1" applyAlignment="1">
      <alignment wrapText="1"/>
    </xf>
    <xf numFmtId="0" fontId="34" fillId="0" borderId="57" xfId="2" applyFont="1" applyBorder="1" applyAlignment="1">
      <alignment wrapText="1"/>
    </xf>
    <xf numFmtId="4" fontId="38" fillId="0" borderId="58" xfId="2" applyNumberFormat="1" applyFont="1" applyBorder="1" applyAlignment="1">
      <alignment wrapText="1"/>
    </xf>
    <xf numFmtId="4" fontId="38" fillId="0" borderId="35" xfId="2" applyNumberFormat="1" applyFont="1" applyBorder="1" applyAlignment="1">
      <alignment wrapText="1"/>
    </xf>
    <xf numFmtId="0" fontId="39" fillId="3" borderId="7" xfId="2" applyFont="1" applyFill="1" applyBorder="1" applyAlignment="1">
      <alignment wrapText="1"/>
    </xf>
    <xf numFmtId="4" fontId="44" fillId="3" borderId="7" xfId="2" applyNumberFormat="1" applyFont="1" applyFill="1" applyBorder="1" applyAlignment="1">
      <alignment wrapText="1"/>
    </xf>
    <xf numFmtId="0" fontId="35" fillId="8" borderId="7" xfId="2" applyFont="1" applyFill="1" applyBorder="1" applyAlignment="1">
      <alignment wrapText="1"/>
    </xf>
    <xf numFmtId="0" fontId="39" fillId="8" borderId="7" xfId="2" applyFont="1" applyFill="1" applyBorder="1" applyAlignment="1">
      <alignment wrapText="1"/>
    </xf>
    <xf numFmtId="4" fontId="44" fillId="8" borderId="7" xfId="2" applyNumberFormat="1" applyFont="1" applyFill="1" applyBorder="1" applyAlignment="1">
      <alignment wrapText="1"/>
    </xf>
    <xf numFmtId="0" fontId="36" fillId="8" borderId="7" xfId="2" applyFont="1" applyFill="1" applyBorder="1" applyAlignment="1">
      <alignment wrapText="1"/>
    </xf>
    <xf numFmtId="4" fontId="44" fillId="8" borderId="21" xfId="2" applyNumberFormat="1" applyFont="1" applyFill="1" applyBorder="1" applyAlignment="1">
      <alignment wrapText="1"/>
    </xf>
    <xf numFmtId="0" fontId="39" fillId="3" borderId="2" xfId="2" applyFont="1" applyFill="1" applyBorder="1" applyAlignment="1">
      <alignment wrapText="1"/>
    </xf>
    <xf numFmtId="4" fontId="44" fillId="3" borderId="2" xfId="2" applyNumberFormat="1" applyFont="1" applyFill="1" applyBorder="1" applyAlignment="1">
      <alignment wrapText="1"/>
    </xf>
    <xf numFmtId="0" fontId="34" fillId="8" borderId="2" xfId="2" applyFont="1" applyFill="1" applyBorder="1" applyAlignment="1">
      <alignment wrapText="1"/>
    </xf>
    <xf numFmtId="4" fontId="44" fillId="8" borderId="2" xfId="2" applyNumberFormat="1" applyFont="1" applyFill="1" applyBorder="1" applyAlignment="1">
      <alignment wrapText="1"/>
    </xf>
    <xf numFmtId="0" fontId="36" fillId="8" borderId="2" xfId="2" applyFont="1" applyFill="1" applyBorder="1" applyAlignment="1">
      <alignment wrapText="1"/>
    </xf>
    <xf numFmtId="4" fontId="44" fillId="8" borderId="3" xfId="2" applyNumberFormat="1" applyFont="1" applyFill="1" applyBorder="1" applyAlignment="1">
      <alignment wrapText="1"/>
    </xf>
    <xf numFmtId="4" fontId="17" fillId="0" borderId="0" xfId="2" applyNumberFormat="1" applyFont="1" applyAlignment="1">
      <alignment wrapText="1"/>
    </xf>
    <xf numFmtId="0" fontId="18" fillId="12" borderId="37" xfId="2" applyFont="1" applyFill="1" applyBorder="1" applyAlignment="1">
      <alignment wrapText="1"/>
    </xf>
    <xf numFmtId="0" fontId="18" fillId="3" borderId="22" xfId="2" applyFont="1" applyFill="1" applyBorder="1" applyAlignment="1">
      <alignment wrapText="1"/>
    </xf>
    <xf numFmtId="0" fontId="18" fillId="3" borderId="23" xfId="2" applyFont="1" applyFill="1" applyBorder="1" applyAlignment="1">
      <alignment horizontal="center" wrapText="1"/>
    </xf>
    <xf numFmtId="2" fontId="45" fillId="0" borderId="24" xfId="2" applyNumberFormat="1" applyFont="1" applyBorder="1" applyAlignment="1">
      <alignment wrapText="1"/>
    </xf>
    <xf numFmtId="0" fontId="0" fillId="0" borderId="0" xfId="0" applyAlignment="1">
      <alignment wrapText="1"/>
    </xf>
    <xf numFmtId="0" fontId="17" fillId="0" borderId="7" xfId="2" applyBorder="1" applyAlignment="1">
      <alignment wrapText="1"/>
    </xf>
    <xf numFmtId="4" fontId="45" fillId="0" borderId="21" xfId="2" applyNumberFormat="1" applyFont="1" applyBorder="1" applyAlignment="1">
      <alignment wrapText="1"/>
    </xf>
    <xf numFmtId="0" fontId="18" fillId="0" borderId="38" xfId="2" applyFont="1" applyBorder="1" applyAlignment="1">
      <alignment wrapText="1"/>
    </xf>
    <xf numFmtId="0" fontId="18" fillId="0" borderId="49" xfId="2" applyFont="1" applyBorder="1" applyAlignment="1">
      <alignment wrapText="1"/>
    </xf>
    <xf numFmtId="0" fontId="18" fillId="0" borderId="39" xfId="2" applyFont="1" applyBorder="1" applyAlignment="1">
      <alignment wrapText="1"/>
    </xf>
    <xf numFmtId="4" fontId="46" fillId="3" borderId="35" xfId="2" applyNumberFormat="1" applyFont="1" applyFill="1" applyBorder="1" applyAlignment="1">
      <alignment wrapText="1"/>
    </xf>
    <xf numFmtId="166" fontId="17" fillId="0" borderId="0" xfId="2" applyNumberFormat="1" applyFont="1" applyAlignment="1">
      <alignment wrapText="1"/>
    </xf>
    <xf numFmtId="0" fontId="18" fillId="0" borderId="48" xfId="2" applyFont="1" applyBorder="1" applyAlignment="1">
      <alignment wrapText="1"/>
    </xf>
    <xf numFmtId="4" fontId="47" fillId="3" borderId="3" xfId="2" applyNumberFormat="1" applyFont="1" applyFill="1" applyBorder="1" applyAlignment="1">
      <alignment wrapText="1"/>
    </xf>
    <xf numFmtId="0" fontId="17" fillId="13" borderId="0" xfId="2" applyFont="1" applyFill="1" applyAlignment="1" applyProtection="1">
      <alignment wrapText="1"/>
      <protection locked="0"/>
    </xf>
    <xf numFmtId="0" fontId="17" fillId="13" borderId="0" xfId="2" applyFont="1" applyFill="1" applyAlignment="1">
      <alignment wrapText="1"/>
    </xf>
    <xf numFmtId="166" fontId="17" fillId="13" borderId="0" xfId="2" applyNumberFormat="1" applyFont="1" applyFill="1" applyAlignment="1">
      <alignment wrapText="1"/>
    </xf>
    <xf numFmtId="0" fontId="18" fillId="0" borderId="4" xfId="2" applyFont="1" applyBorder="1" applyAlignment="1">
      <alignment horizontal="right" wrapText="1"/>
    </xf>
    <xf numFmtId="166" fontId="0" fillId="0" borderId="4" xfId="0" applyNumberFormat="1" applyBorder="1" applyAlignment="1">
      <alignment wrapText="1"/>
    </xf>
    <xf numFmtId="0" fontId="17" fillId="4" borderId="0" xfId="2" applyFont="1" applyFill="1" applyAlignment="1">
      <alignment horizontal="center" vertical="center" wrapText="1"/>
    </xf>
    <xf numFmtId="2" fontId="19" fillId="0" borderId="4" xfId="0" applyNumberFormat="1" applyFont="1" applyBorder="1" applyAlignment="1">
      <alignment wrapText="1"/>
    </xf>
    <xf numFmtId="0" fontId="18" fillId="0" borderId="4" xfId="0" applyFont="1" applyBorder="1" applyAlignment="1">
      <alignment wrapText="1"/>
    </xf>
    <xf numFmtId="0" fontId="49" fillId="0" borderId="0" xfId="0" applyFont="1" applyAlignment="1">
      <alignment wrapText="1"/>
    </xf>
    <xf numFmtId="0" fontId="45" fillId="14" borderId="4" xfId="0" applyFont="1" applyFill="1" applyBorder="1" applyAlignment="1">
      <alignment wrapText="1"/>
    </xf>
    <xf numFmtId="0" fontId="50" fillId="0" borderId="0" xfId="0" applyFont="1" applyAlignment="1">
      <alignment wrapText="1"/>
    </xf>
    <xf numFmtId="165" fontId="45" fillId="14" borderId="4" xfId="0" applyNumberFormat="1" applyFont="1" applyFill="1" applyBorder="1" applyAlignment="1">
      <alignment wrapText="1"/>
    </xf>
    <xf numFmtId="14" fontId="17" fillId="0" borderId="0" xfId="2" applyNumberFormat="1" applyFont="1" applyAlignment="1">
      <alignment wrapText="1"/>
    </xf>
    <xf numFmtId="0" fontId="50" fillId="0" borderId="40" xfId="0" applyFont="1" applyBorder="1"/>
    <xf numFmtId="14" fontId="17" fillId="0" borderId="0" xfId="2" applyNumberFormat="1" applyFont="1"/>
    <xf numFmtId="14" fontId="45" fillId="0" borderId="0" xfId="2" applyNumberFormat="1" applyFont="1" applyAlignment="1">
      <alignment wrapText="1"/>
    </xf>
    <xf numFmtId="0" fontId="34" fillId="0" borderId="0" xfId="2" quotePrefix="1" applyFont="1" applyAlignment="1">
      <alignment horizontal="left" wrapText="1"/>
    </xf>
    <xf numFmtId="0" fontId="34" fillId="7" borderId="4" xfId="2" applyFont="1" applyFill="1" applyBorder="1" applyAlignment="1"/>
    <xf numFmtId="0" fontId="35" fillId="0" borderId="48" xfId="2" applyFont="1" applyBorder="1" applyAlignment="1">
      <alignment horizontal="center" wrapText="1"/>
    </xf>
    <xf numFmtId="0" fontId="35" fillId="0" borderId="47" xfId="2" applyFont="1" applyBorder="1" applyAlignment="1">
      <alignment horizontal="center" wrapText="1"/>
    </xf>
    <xf numFmtId="0" fontId="35" fillId="0" borderId="59" xfId="2" applyFont="1" applyBorder="1" applyAlignment="1">
      <alignment horizontal="center" wrapText="1"/>
    </xf>
    <xf numFmtId="0" fontId="18" fillId="0" borderId="44" xfId="2" applyFont="1" applyBorder="1" applyAlignment="1">
      <alignment horizontal="center" vertical="center" wrapText="1"/>
    </xf>
    <xf numFmtId="0" fontId="18" fillId="0" borderId="42" xfId="2" applyFont="1" applyBorder="1" applyAlignment="1">
      <alignment horizontal="center" vertical="center" wrapText="1"/>
    </xf>
    <xf numFmtId="0" fontId="35" fillId="0" borderId="41" xfId="2" applyFont="1" applyBorder="1" applyAlignment="1">
      <alignment horizontal="center" wrapText="1"/>
    </xf>
    <xf numFmtId="0" fontId="35" fillId="0" borderId="44" xfId="2" applyFont="1" applyBorder="1" applyAlignment="1">
      <alignment horizontal="center" wrapText="1"/>
    </xf>
    <xf numFmtId="0" fontId="35" fillId="0" borderId="71" xfId="2" applyFont="1" applyBorder="1" applyAlignment="1">
      <alignment horizontal="center" wrapText="1"/>
    </xf>
    <xf numFmtId="0" fontId="17" fillId="0" borderId="0" xfId="2" applyFont="1" applyAlignment="1"/>
    <xf numFmtId="14" fontId="20" fillId="0" borderId="0" xfId="2" applyNumberFormat="1" applyFont="1" applyAlignment="1"/>
    <xf numFmtId="14" fontId="17" fillId="0" borderId="0" xfId="2" applyNumberFormat="1" applyFont="1" applyAlignment="1" applyProtection="1">
      <alignment wrapText="1"/>
      <protection locked="0"/>
    </xf>
    <xf numFmtId="0" fontId="18" fillId="16" borderId="12" xfId="2" applyFont="1" applyFill="1" applyBorder="1" applyAlignment="1">
      <alignment horizontal="center" vertical="center" wrapText="1"/>
    </xf>
    <xf numFmtId="0" fontId="58" fillId="0" borderId="0" xfId="0" applyFont="1" applyAlignment="1">
      <alignment vertical="center"/>
    </xf>
    <xf numFmtId="0" fontId="18" fillId="0" borderId="0" xfId="0" applyFont="1" applyAlignment="1">
      <alignment horizontal="left" vertical="center" indent="1"/>
    </xf>
    <xf numFmtId="0" fontId="59" fillId="0" borderId="0" xfId="0" applyFont="1" applyAlignment="1">
      <alignment vertical="center"/>
    </xf>
    <xf numFmtId="0" fontId="0" fillId="0" borderId="0" xfId="0" applyAlignment="1">
      <alignment horizontal="left" vertical="center" indent="5"/>
    </xf>
    <xf numFmtId="0" fontId="19" fillId="0" borderId="0" xfId="0" applyFont="1" applyAlignment="1">
      <alignment horizontal="left" vertical="center" indent="5"/>
    </xf>
    <xf numFmtId="0" fontId="19" fillId="0" borderId="0" xfId="0" applyFont="1" applyAlignment="1">
      <alignment horizontal="left" vertical="center" indent="6"/>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0" applyFont="1" applyAlignment="1">
      <alignment horizontal="left" vertical="center" wrapText="1" indent="2"/>
    </xf>
    <xf numFmtId="0" fontId="60" fillId="0" borderId="0" xfId="0" applyFont="1" applyAlignment="1">
      <alignment horizontal="left" vertical="center" indent="6"/>
    </xf>
    <xf numFmtId="0" fontId="59" fillId="0" borderId="0" xfId="0" applyFont="1" applyAlignment="1">
      <alignment horizontal="center" vertical="center" wrapText="1"/>
    </xf>
    <xf numFmtId="0" fontId="43"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20" fillId="0" borderId="0" xfId="4" applyFont="1" applyAlignment="1">
      <alignment vertical="center"/>
    </xf>
    <xf numFmtId="0" fontId="61" fillId="0" borderId="0" xfId="0" applyFont="1" applyAlignment="1" applyProtection="1">
      <alignment vertical="center"/>
      <protection locked="0"/>
    </xf>
    <xf numFmtId="0" fontId="6"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18" fillId="0" borderId="0" xfId="0" applyNumberFormat="1" applyFont="1"/>
    <xf numFmtId="173" fontId="0" fillId="0" borderId="0" xfId="0" applyNumberFormat="1"/>
    <xf numFmtId="0" fontId="18" fillId="0" borderId="4" xfId="4" applyFont="1" applyBorder="1"/>
    <xf numFmtId="0" fontId="18" fillId="0" borderId="4" xfId="4" applyFont="1" applyBorder="1" applyAlignment="1">
      <alignment horizontal="center"/>
    </xf>
    <xf numFmtId="173" fontId="18" fillId="0" borderId="4" xfId="0" applyNumberFormat="1" applyFont="1" applyBorder="1" applyAlignment="1">
      <alignment horizontal="center"/>
    </xf>
    <xf numFmtId="166" fontId="17" fillId="0" borderId="4" xfId="4" applyNumberFormat="1" applyBorder="1"/>
    <xf numFmtId="0" fontId="17" fillId="0" borderId="4" xfId="4" applyBorder="1"/>
    <xf numFmtId="173" fontId="18" fillId="0" borderId="4" xfId="0" applyNumberFormat="1" applyFont="1" applyBorder="1"/>
    <xf numFmtId="0" fontId="18" fillId="0" borderId="31" xfId="4" applyFont="1" applyBorder="1"/>
    <xf numFmtId="0" fontId="57" fillId="0" borderId="4" xfId="0" applyFont="1" applyBorder="1"/>
    <xf numFmtId="0" fontId="17" fillId="0" borderId="0" xfId="4"/>
    <xf numFmtId="0" fontId="0" fillId="0" borderId="4" xfId="0" applyBorder="1"/>
    <xf numFmtId="10" fontId="17" fillId="0" borderId="4" xfId="5" applyNumberFormat="1" applyFill="1" applyBorder="1"/>
    <xf numFmtId="4" fontId="0" fillId="0" borderId="4" xfId="4" applyNumberFormat="1" applyFont="1" applyBorder="1" applyAlignment="1">
      <alignment wrapText="1"/>
    </xf>
    <xf numFmtId="4" fontId="19" fillId="0" borderId="4" xfId="4" applyNumberFormat="1" applyFont="1" applyBorder="1"/>
    <xf numFmtId="0" fontId="51" fillId="0" borderId="0" xfId="0" applyFont="1" applyAlignment="1">
      <alignment vertical="top" wrapText="1"/>
    </xf>
    <xf numFmtId="0" fontId="0" fillId="0" borderId="0" xfId="4" applyFont="1"/>
    <xf numFmtId="0" fontId="0" fillId="0" borderId="4" xfId="4" applyFont="1" applyBorder="1" applyAlignment="1">
      <alignment wrapText="1"/>
    </xf>
    <xf numFmtId="4" fontId="40"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17" fillId="0" borderId="4" xfId="4" applyNumberFormat="1" applyBorder="1"/>
    <xf numFmtId="4" fontId="17" fillId="0" borderId="0" xfId="4" applyNumberFormat="1"/>
    <xf numFmtId="0" fontId="17" fillId="0" borderId="4" xfId="4" applyBorder="1" applyAlignment="1">
      <alignment horizontal="left"/>
    </xf>
    <xf numFmtId="4" fontId="18" fillId="14" borderId="4" xfId="4" applyNumberFormat="1" applyFont="1" applyFill="1" applyBorder="1" applyAlignment="1">
      <alignment wrapText="1"/>
    </xf>
    <xf numFmtId="4" fontId="18"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19"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18" fillId="0" borderId="4" xfId="0" applyNumberFormat="1" applyFont="1" applyBorder="1"/>
    <xf numFmtId="167" fontId="0" fillId="0" borderId="4" xfId="0" applyNumberFormat="1" applyBorder="1"/>
    <xf numFmtId="4" fontId="0" fillId="0" borderId="4" xfId="0" applyNumberFormat="1" applyBorder="1"/>
    <xf numFmtId="4" fontId="17" fillId="0" borderId="4" xfId="6" applyNumberFormat="1" applyBorder="1"/>
    <xf numFmtId="4" fontId="18" fillId="14" borderId="4" xfId="0" applyNumberFormat="1" applyFont="1" applyFill="1" applyBorder="1"/>
    <xf numFmtId="4" fontId="0" fillId="14" borderId="4" xfId="0" applyNumberFormat="1" applyFill="1" applyBorder="1"/>
    <xf numFmtId="173" fontId="40" fillId="0" borderId="0" xfId="0" applyNumberFormat="1" applyFont="1"/>
    <xf numFmtId="166" fontId="0" fillId="0" borderId="0" xfId="0" applyNumberFormat="1"/>
    <xf numFmtId="0" fontId="66" fillId="0" borderId="0" xfId="0" applyFont="1"/>
    <xf numFmtId="0" fontId="67" fillId="0" borderId="0" xfId="3" applyNumberFormat="1" applyFont="1"/>
    <xf numFmtId="0" fontId="42" fillId="0" borderId="0" xfId="3" applyNumberFormat="1" applyFont="1"/>
    <xf numFmtId="4" fontId="42" fillId="0" borderId="0" xfId="3" applyNumberFormat="1" applyFont="1"/>
    <xf numFmtId="173" fontId="17" fillId="0" borderId="0" xfId="3"/>
    <xf numFmtId="0" fontId="68" fillId="0" borderId="0" xfId="3" applyNumberFormat="1" applyFont="1"/>
    <xf numFmtId="4" fontId="68" fillId="0" borderId="0" xfId="3" applyNumberFormat="1" applyFont="1"/>
    <xf numFmtId="0" fontId="68" fillId="0" borderId="0" xfId="3" applyNumberFormat="1" applyFont="1" applyAlignment="1">
      <alignment vertical="top"/>
    </xf>
    <xf numFmtId="1" fontId="0" fillId="0" borderId="0" xfId="0" applyNumberFormat="1"/>
    <xf numFmtId="173" fontId="0" fillId="7" borderId="0" xfId="0" applyNumberFormat="1" applyFill="1"/>
    <xf numFmtId="169" fontId="18" fillId="7" borderId="4" xfId="0" applyNumberFormat="1" applyFont="1" applyFill="1" applyBorder="1"/>
    <xf numFmtId="169" fontId="18" fillId="19" borderId="4" xfId="0" applyNumberFormat="1" applyFont="1" applyFill="1" applyBorder="1"/>
    <xf numFmtId="0" fontId="71" fillId="0" borderId="0" xfId="3" applyNumberFormat="1" applyFont="1" applyFill="1"/>
    <xf numFmtId="167" fontId="18" fillId="19" borderId="4" xfId="0" applyNumberFormat="1" applyFont="1" applyFill="1" applyBorder="1"/>
    <xf numFmtId="0" fontId="82" fillId="2" borderId="0" xfId="0" applyFont="1" applyFill="1" applyAlignment="1"/>
    <xf numFmtId="1" fontId="83" fillId="2" borderId="0" xfId="0" applyNumberFormat="1" applyFont="1" applyFill="1" applyAlignment="1">
      <alignment horizontal="left"/>
    </xf>
    <xf numFmtId="4" fontId="18" fillId="0" borderId="8" xfId="0" applyNumberFormat="1" applyFont="1" applyFill="1" applyBorder="1"/>
    <xf numFmtId="0" fontId="80" fillId="2" borderId="0" xfId="0" applyFont="1" applyFill="1" applyAlignment="1">
      <alignment horizontal="left"/>
    </xf>
    <xf numFmtId="14" fontId="22" fillId="2" borderId="0" xfId="0" applyNumberFormat="1" applyFont="1" applyFill="1" applyAlignment="1">
      <alignment horizontal="left"/>
    </xf>
    <xf numFmtId="0" fontId="22" fillId="2" borderId="0" xfId="0" applyFont="1" applyFill="1" applyAlignment="1">
      <alignment horizontal="left" vertical="center"/>
    </xf>
    <xf numFmtId="0" fontId="22" fillId="2" borderId="0" xfId="0" applyFont="1" applyFill="1" applyAlignment="1" applyProtection="1">
      <alignment horizontal="left"/>
    </xf>
    <xf numFmtId="0" fontId="22" fillId="2" borderId="0" xfId="0" applyFont="1" applyFill="1" applyAlignment="1">
      <alignment horizontal="left" wrapText="1"/>
    </xf>
    <xf numFmtId="0" fontId="23" fillId="2" borderId="0" xfId="0" applyFont="1" applyFill="1" applyAlignment="1">
      <alignment horizontal="left"/>
    </xf>
    <xf numFmtId="0" fontId="56" fillId="2" borderId="0" xfId="0" applyFont="1" applyFill="1" applyBorder="1" applyAlignment="1">
      <alignment wrapText="1"/>
    </xf>
    <xf numFmtId="164" fontId="22" fillId="2" borderId="0" xfId="0" applyNumberFormat="1" applyFont="1" applyFill="1"/>
    <xf numFmtId="14" fontId="26" fillId="6" borderId="48" xfId="0" applyNumberFormat="1" applyFont="1" applyFill="1" applyBorder="1" applyAlignment="1" applyProtection="1">
      <alignment horizontal="left" vertical="center"/>
      <protection locked="0"/>
    </xf>
    <xf numFmtId="168" fontId="26" fillId="2" borderId="0" xfId="0" applyNumberFormat="1" applyFont="1" applyFill="1" applyAlignment="1">
      <alignment horizontal="left" wrapText="1"/>
    </xf>
    <xf numFmtId="175" fontId="22" fillId="2" borderId="0" xfId="0" applyNumberFormat="1" applyFont="1" applyFill="1"/>
    <xf numFmtId="0" fontId="26" fillId="2" borderId="0" xfId="0" applyFont="1" applyFill="1" applyAlignment="1">
      <alignment wrapText="1"/>
    </xf>
    <xf numFmtId="173" fontId="0" fillId="20" borderId="4" xfId="0" applyNumberFormat="1" applyFill="1" applyBorder="1" applyAlignment="1">
      <alignment wrapText="1"/>
    </xf>
    <xf numFmtId="0" fontId="19" fillId="0" borderId="0" xfId="2" applyFont="1" applyAlignment="1">
      <alignment wrapText="1"/>
    </xf>
    <xf numFmtId="4" fontId="26" fillId="0" borderId="22" xfId="1" applyNumberFormat="1" applyFont="1" applyFill="1" applyBorder="1" applyAlignment="1" applyProtection="1">
      <alignment horizontal="center" vertical="center"/>
      <protection locked="0"/>
    </xf>
    <xf numFmtId="4" fontId="26" fillId="0" borderId="50" xfId="1" applyNumberFormat="1" applyFont="1" applyFill="1" applyBorder="1" applyAlignment="1" applyProtection="1">
      <alignment horizontal="center" vertical="center"/>
      <protection locked="0"/>
    </xf>
    <xf numFmtId="14" fontId="0" fillId="11" borderId="4" xfId="0" applyNumberFormat="1" applyFill="1" applyBorder="1" applyAlignment="1">
      <alignment wrapText="1"/>
    </xf>
    <xf numFmtId="4" fontId="26" fillId="6" borderId="22" xfId="1" applyNumberFormat="1" applyFont="1" applyFill="1" applyBorder="1" applyAlignment="1" applyProtection="1">
      <alignment horizontal="center" vertical="center"/>
    </xf>
    <xf numFmtId="0" fontId="0" fillId="17" borderId="0" xfId="0" applyFill="1" applyProtection="1">
      <protection hidden="1"/>
    </xf>
    <xf numFmtId="0" fontId="0" fillId="17" borderId="4" xfId="0" applyFill="1" applyBorder="1" applyAlignment="1" applyProtection="1">
      <alignment wrapText="1"/>
      <protection hidden="1"/>
    </xf>
    <xf numFmtId="0" fontId="0" fillId="17" borderId="4" xfId="0" applyFill="1" applyBorder="1" applyProtection="1">
      <protection hidden="1"/>
    </xf>
    <xf numFmtId="0" fontId="0" fillId="0" borderId="0" xfId="0" applyFill="1" applyProtection="1"/>
    <xf numFmtId="0" fontId="17" fillId="0" borderId="0" xfId="2" applyFont="1" applyFill="1" applyBorder="1" applyAlignment="1" applyProtection="1">
      <alignment wrapText="1"/>
    </xf>
    <xf numFmtId="0" fontId="57" fillId="0" borderId="0" xfId="0" applyFont="1" applyFill="1" applyProtection="1">
      <protection hidden="1"/>
    </xf>
    <xf numFmtId="0" fontId="17" fillId="0" borderId="0" xfId="2" applyFont="1" applyAlignment="1" applyProtection="1">
      <alignment wrapText="1"/>
    </xf>
    <xf numFmtId="0" fontId="18" fillId="0" borderId="4" xfId="0" applyFont="1" applyBorder="1" applyAlignment="1" applyProtection="1">
      <alignment wrapText="1"/>
    </xf>
    <xf numFmtId="0" fontId="0" fillId="0" borderId="0" xfId="0" applyAlignment="1" applyProtection="1">
      <alignment wrapText="1"/>
    </xf>
    <xf numFmtId="0" fontId="57" fillId="18" borderId="0" xfId="0" applyFont="1" applyFill="1" applyProtection="1">
      <protection hidden="1"/>
    </xf>
    <xf numFmtId="0" fontId="0" fillId="0" borderId="4" xfId="0" applyBorder="1" applyAlignment="1" applyProtection="1">
      <alignment wrapText="1"/>
    </xf>
    <xf numFmtId="0" fontId="50" fillId="0" borderId="40" xfId="0" applyFont="1" applyBorder="1" applyProtection="1"/>
    <xf numFmtId="0" fontId="18" fillId="0" borderId="0" xfId="2" applyFont="1" applyAlignment="1" applyProtection="1">
      <alignment wrapText="1"/>
    </xf>
    <xf numFmtId="14" fontId="17" fillId="0" borderId="0" xfId="2" applyNumberFormat="1" applyFont="1" applyAlignment="1" applyProtection="1">
      <alignment wrapText="1"/>
    </xf>
    <xf numFmtId="1" fontId="34" fillId="7" borderId="4" xfId="2" applyNumberFormat="1" applyFont="1" applyFill="1" applyBorder="1" applyAlignment="1" applyProtection="1">
      <alignment wrapText="1"/>
    </xf>
    <xf numFmtId="0" fontId="34" fillId="0" borderId="4" xfId="2" applyFont="1" applyBorder="1" applyAlignment="1" applyProtection="1">
      <alignment wrapText="1"/>
    </xf>
    <xf numFmtId="0" fontId="34" fillId="7" borderId="4" xfId="2" applyFont="1" applyFill="1" applyBorder="1" applyAlignment="1" applyProtection="1">
      <alignment wrapText="1"/>
    </xf>
    <xf numFmtId="14" fontId="34" fillId="0" borderId="4" xfId="2" applyNumberFormat="1" applyFont="1" applyFill="1" applyBorder="1" applyAlignment="1" applyProtection="1">
      <alignment wrapText="1"/>
    </xf>
    <xf numFmtId="4" fontId="8" fillId="7" borderId="9" xfId="3" applyNumberFormat="1" applyFont="1" applyFill="1" applyBorder="1" applyAlignment="1" applyProtection="1">
      <alignment wrapText="1"/>
    </xf>
    <xf numFmtId="4" fontId="17" fillId="0" borderId="0" xfId="2" applyNumberFormat="1" applyFont="1" applyAlignment="1" applyProtection="1">
      <alignment wrapText="1"/>
    </xf>
    <xf numFmtId="3" fontId="8" fillId="7" borderId="9" xfId="3" applyNumberFormat="1" applyFont="1" applyFill="1" applyBorder="1" applyAlignment="1" applyProtection="1">
      <alignment wrapText="1"/>
    </xf>
    <xf numFmtId="4" fontId="17" fillId="7" borderId="4" xfId="2" applyNumberFormat="1" applyFill="1" applyBorder="1" applyAlignment="1" applyProtection="1">
      <alignment wrapText="1"/>
    </xf>
    <xf numFmtId="3" fontId="17" fillId="7" borderId="16" xfId="2" applyNumberFormat="1" applyFill="1" applyBorder="1" applyAlignment="1" applyProtection="1">
      <alignment wrapText="1"/>
    </xf>
    <xf numFmtId="169" fontId="18" fillId="0" borderId="4" xfId="2" applyNumberFormat="1" applyFont="1" applyBorder="1" applyAlignment="1" applyProtection="1">
      <alignment wrapText="1"/>
    </xf>
    <xf numFmtId="14" fontId="17" fillId="4" borderId="31" xfId="2" applyNumberFormat="1" applyFont="1" applyFill="1" applyBorder="1" applyAlignment="1" applyProtection="1">
      <alignment wrapText="1"/>
    </xf>
    <xf numFmtId="169" fontId="17" fillId="0" borderId="0" xfId="2" applyNumberFormat="1" applyFont="1" applyAlignment="1" applyProtection="1">
      <alignment wrapText="1"/>
    </xf>
    <xf numFmtId="4" fontId="17" fillId="4" borderId="31" xfId="2" applyNumberFormat="1" applyFont="1" applyFill="1" applyBorder="1" applyAlignment="1" applyProtection="1">
      <alignment wrapText="1"/>
    </xf>
    <xf numFmtId="4" fontId="17" fillId="0" borderId="4" xfId="2" applyNumberFormat="1" applyFont="1" applyBorder="1" applyAlignment="1" applyProtection="1">
      <alignment wrapText="1"/>
    </xf>
    <xf numFmtId="174" fontId="17" fillId="0" borderId="0" xfId="1" applyNumberFormat="1" applyFont="1" applyAlignment="1" applyProtection="1">
      <alignment wrapText="1"/>
    </xf>
    <xf numFmtId="3" fontId="17" fillId="7" borderId="39" xfId="2" applyNumberFormat="1" applyFill="1" applyBorder="1" applyAlignment="1" applyProtection="1">
      <alignment wrapText="1"/>
    </xf>
    <xf numFmtId="14" fontId="17" fillId="7" borderId="16" xfId="2" applyNumberFormat="1" applyFill="1" applyBorder="1" applyAlignment="1" applyProtection="1">
      <alignment wrapText="1"/>
    </xf>
    <xf numFmtId="3" fontId="17" fillId="7" borderId="42" xfId="2" applyNumberFormat="1" applyFill="1" applyBorder="1" applyAlignment="1" applyProtection="1">
      <alignment wrapText="1"/>
    </xf>
    <xf numFmtId="14" fontId="17" fillId="7" borderId="42" xfId="2" applyNumberFormat="1" applyFill="1" applyBorder="1" applyAlignment="1" applyProtection="1">
      <alignment wrapText="1"/>
    </xf>
    <xf numFmtId="3" fontId="17" fillId="7" borderId="46" xfId="2" applyNumberFormat="1" applyFill="1" applyBorder="1" applyAlignment="1" applyProtection="1">
      <alignment wrapText="1"/>
    </xf>
    <xf numFmtId="14" fontId="17" fillId="7" borderId="46" xfId="2" applyNumberFormat="1" applyFill="1" applyBorder="1" applyAlignment="1" applyProtection="1">
      <alignment wrapText="1"/>
    </xf>
    <xf numFmtId="14" fontId="17" fillId="7" borderId="46" xfId="2" applyNumberFormat="1" applyFill="1" applyBorder="1" applyAlignment="1" applyProtection="1">
      <alignment horizontal="right" wrapText="1"/>
    </xf>
    <xf numFmtId="14" fontId="0" fillId="0" borderId="0" xfId="0" applyNumberFormat="1" applyProtection="1"/>
    <xf numFmtId="4" fontId="17" fillId="4" borderId="4" xfId="4" applyNumberFormat="1" applyFill="1" applyBorder="1" applyProtection="1"/>
    <xf numFmtId="4" fontId="0" fillId="4" borderId="4" xfId="4" applyNumberFormat="1" applyFont="1" applyFill="1" applyBorder="1" applyProtection="1"/>
    <xf numFmtId="2" fontId="0" fillId="4" borderId="4" xfId="0" applyNumberFormat="1" applyFill="1" applyBorder="1" applyAlignment="1" applyProtection="1">
      <alignment horizontal="left"/>
    </xf>
    <xf numFmtId="0" fontId="0" fillId="0" borderId="0" xfId="0" applyFont="1" applyAlignment="1" applyProtection="1">
      <alignment wrapText="1"/>
    </xf>
    <xf numFmtId="0" fontId="0" fillId="4" borderId="4" xfId="0" applyFill="1" applyBorder="1" applyProtection="1">
      <protection hidden="1"/>
    </xf>
    <xf numFmtId="0" fontId="57" fillId="21" borderId="0" xfId="0" applyFont="1" applyFill="1" applyProtection="1">
      <protection hidden="1"/>
    </xf>
    <xf numFmtId="0" fontId="17" fillId="4" borderId="4" xfId="4" applyFill="1" applyBorder="1" applyAlignment="1" applyProtection="1">
      <alignment horizontal="left" wrapText="1"/>
    </xf>
    <xf numFmtId="3" fontId="8" fillId="7" borderId="9" xfId="3" applyNumberFormat="1" applyFont="1" applyFill="1" applyBorder="1" applyAlignment="1" applyProtection="1">
      <alignment wrapText="1"/>
      <protection locked="0"/>
    </xf>
    <xf numFmtId="4" fontId="17" fillId="6" borderId="4" xfId="2" applyNumberFormat="1" applyFill="1" applyBorder="1" applyAlignment="1">
      <alignment horizontal="right" wrapText="1"/>
    </xf>
    <xf numFmtId="0" fontId="85" fillId="0" borderId="0" xfId="2" applyFont="1"/>
    <xf numFmtId="0" fontId="21" fillId="2" borderId="0" xfId="0" applyFont="1" applyFill="1" applyBorder="1" applyAlignment="1"/>
    <xf numFmtId="49" fontId="28" fillId="2" borderId="0" xfId="0" applyNumberFormat="1" applyFont="1" applyFill="1" applyBorder="1" applyAlignment="1">
      <alignment horizontal="left"/>
    </xf>
    <xf numFmtId="0" fontId="22" fillId="2" borderId="0" xfId="0" applyFont="1" applyFill="1" applyBorder="1" applyAlignment="1">
      <alignment horizontal="left"/>
    </xf>
    <xf numFmtId="0" fontId="22" fillId="0" borderId="0" xfId="0" applyFont="1" applyBorder="1"/>
    <xf numFmtId="0" fontId="28" fillId="2" borderId="0" xfId="0" applyFont="1" applyFill="1" applyBorder="1"/>
    <xf numFmtId="0" fontId="28" fillId="2" borderId="0" xfId="0" applyFont="1" applyFill="1" applyBorder="1" applyAlignment="1" applyProtection="1">
      <alignment horizontal="right"/>
      <protection locked="0"/>
    </xf>
    <xf numFmtId="0" fontId="23" fillId="2" borderId="0" xfId="0" applyFont="1" applyFill="1" applyBorder="1"/>
    <xf numFmtId="0" fontId="23" fillId="2" borderId="0" xfId="0" applyFont="1" applyFill="1" applyBorder="1" applyAlignment="1">
      <alignment wrapText="1"/>
    </xf>
    <xf numFmtId="0" fontId="23" fillId="2" borderId="0" xfId="0" applyFont="1" applyFill="1" applyBorder="1" applyAlignment="1">
      <alignment vertical="top"/>
    </xf>
    <xf numFmtId="0" fontId="80" fillId="2" borderId="0" xfId="0" applyFont="1" applyFill="1" applyBorder="1" applyAlignment="1">
      <alignment horizontal="left" vertical="top"/>
    </xf>
    <xf numFmtId="0" fontId="80" fillId="2" borderId="0" xfId="0" applyFont="1" applyFill="1" applyBorder="1"/>
    <xf numFmtId="0" fontId="86" fillId="2" borderId="0" xfId="0" applyFont="1" applyFill="1" applyAlignment="1">
      <alignment wrapText="1"/>
    </xf>
    <xf numFmtId="0" fontId="27" fillId="6" borderId="4" xfId="0" applyFont="1" applyFill="1" applyBorder="1" applyAlignment="1">
      <alignment horizontal="center" vertical="center"/>
    </xf>
    <xf numFmtId="0" fontId="27" fillId="6" borderId="22" xfId="0" applyFont="1" applyFill="1" applyBorder="1" applyAlignment="1">
      <alignment horizontal="center" vertical="center"/>
    </xf>
    <xf numFmtId="0" fontId="27" fillId="6" borderId="2" xfId="0" applyFont="1" applyFill="1" applyBorder="1" applyAlignment="1">
      <alignment horizontal="center" vertical="center"/>
    </xf>
    <xf numFmtId="0" fontId="27" fillId="6" borderId="27"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27" xfId="0" applyFont="1" applyFill="1" applyBorder="1" applyAlignment="1">
      <alignment horizontal="center" vertical="center"/>
    </xf>
    <xf numFmtId="164" fontId="27" fillId="6" borderId="30" xfId="0" applyNumberFormat="1" applyFont="1" applyFill="1" applyBorder="1" applyAlignment="1">
      <alignment horizontal="center" vertical="center"/>
    </xf>
    <xf numFmtId="0" fontId="0" fillId="4" borderId="0" xfId="0" applyFill="1" applyProtection="1"/>
    <xf numFmtId="0" fontId="34" fillId="7" borderId="4" xfId="2" applyFont="1" applyFill="1" applyBorder="1" applyAlignment="1" applyProtection="1">
      <alignment wrapText="1"/>
      <protection locked="0"/>
    </xf>
    <xf numFmtId="0" fontId="8" fillId="7" borderId="0" xfId="0" applyFont="1" applyFill="1" applyAlignment="1">
      <alignment wrapText="1"/>
    </xf>
    <xf numFmtId="0" fontId="0" fillId="4" borderId="0" xfId="0" applyFill="1" applyAlignment="1">
      <alignment wrapText="1"/>
    </xf>
    <xf numFmtId="0" fontId="0" fillId="7" borderId="0" xfId="0" applyFill="1" applyBorder="1" applyProtection="1"/>
    <xf numFmtId="0" fontId="8" fillId="7" borderId="0" xfId="0" applyFont="1" applyFill="1" applyBorder="1" applyAlignment="1">
      <alignment wrapText="1"/>
    </xf>
    <xf numFmtId="166" fontId="87" fillId="2" borderId="0" xfId="0" applyNumberFormat="1" applyFont="1" applyFill="1" applyAlignment="1">
      <alignment horizontal="left"/>
    </xf>
    <xf numFmtId="0" fontId="8" fillId="2" borderId="0" xfId="0" applyFont="1" applyFill="1" applyBorder="1" applyAlignment="1">
      <alignment vertical="center" wrapText="1"/>
    </xf>
    <xf numFmtId="0" fontId="50" fillId="0" borderId="0" xfId="0" applyFont="1" applyAlignment="1" applyProtection="1">
      <alignment wrapText="1"/>
    </xf>
    <xf numFmtId="4" fontId="17" fillId="7" borderId="4" xfId="2" applyNumberFormat="1" applyFont="1" applyFill="1" applyBorder="1" applyAlignment="1" applyProtection="1">
      <alignment wrapText="1"/>
      <protection locked="0"/>
    </xf>
    <xf numFmtId="176" fontId="42" fillId="0" borderId="4" xfId="5" applyNumberFormat="1" applyFont="1" applyFill="1" applyBorder="1" applyAlignment="1">
      <alignment wrapText="1"/>
    </xf>
    <xf numFmtId="166" fontId="26" fillId="6" borderId="22" xfId="0" applyNumberFormat="1" applyFont="1" applyFill="1" applyBorder="1" applyAlignment="1">
      <alignment horizontal="center" vertical="center"/>
    </xf>
    <xf numFmtId="166" fontId="26" fillId="6" borderId="4" xfId="0" applyNumberFormat="1" applyFont="1" applyFill="1" applyBorder="1" applyAlignment="1">
      <alignment horizontal="center" vertical="center"/>
    </xf>
    <xf numFmtId="166" fontId="26" fillId="6" borderId="27" xfId="0" applyNumberFormat="1" applyFont="1" applyFill="1" applyBorder="1" applyAlignment="1">
      <alignment horizontal="center" vertical="center"/>
    </xf>
    <xf numFmtId="164" fontId="23" fillId="5" borderId="74" xfId="0" applyNumberFormat="1" applyFont="1" applyFill="1" applyBorder="1" applyAlignment="1">
      <alignment horizontal="center"/>
    </xf>
    <xf numFmtId="0" fontId="20" fillId="2" borderId="0" xfId="4" applyFont="1" applyFill="1" applyProtection="1"/>
    <xf numFmtId="0" fontId="72" fillId="2" borderId="0" xfId="0" applyFont="1" applyFill="1" applyProtection="1"/>
    <xf numFmtId="0" fontId="0" fillId="2" borderId="0" xfId="0" applyFill="1" applyProtection="1"/>
    <xf numFmtId="0" fontId="0" fillId="2" borderId="0" xfId="2" applyFont="1" applyFill="1" applyAlignment="1" applyProtection="1">
      <alignment wrapText="1"/>
    </xf>
    <xf numFmtId="14" fontId="50" fillId="2" borderId="0" xfId="2" applyNumberFormat="1" applyFont="1" applyFill="1" applyAlignment="1" applyProtection="1">
      <alignment wrapText="1"/>
    </xf>
    <xf numFmtId="0" fontId="50" fillId="2" borderId="0" xfId="2" applyFont="1" applyFill="1" applyAlignment="1" applyProtection="1">
      <alignment wrapText="1"/>
    </xf>
    <xf numFmtId="0" fontId="76" fillId="2" borderId="4" xfId="0" applyFont="1" applyFill="1" applyBorder="1" applyAlignment="1" applyProtection="1">
      <alignment wrapText="1"/>
    </xf>
    <xf numFmtId="0" fontId="50" fillId="2" borderId="4" xfId="0" applyFont="1" applyFill="1" applyBorder="1" applyAlignment="1" applyProtection="1">
      <alignment wrapText="1"/>
    </xf>
    <xf numFmtId="0" fontId="50" fillId="2" borderId="40" xfId="0" applyFont="1" applyFill="1" applyBorder="1" applyProtection="1"/>
    <xf numFmtId="4" fontId="2" fillId="2" borderId="73" xfId="0" applyNumberFormat="1" applyFont="1" applyFill="1" applyBorder="1" applyProtection="1">
      <protection locked="0"/>
    </xf>
    <xf numFmtId="0" fontId="18" fillId="2" borderId="0" xfId="2" applyFont="1" applyFill="1" applyAlignment="1" applyProtection="1">
      <alignment wrapText="1"/>
    </xf>
    <xf numFmtId="164" fontId="23" fillId="7" borderId="28" xfId="0" applyNumberFormat="1" applyFont="1" applyFill="1" applyBorder="1" applyAlignment="1">
      <alignment horizontal="center" vertical="center"/>
    </xf>
    <xf numFmtId="0" fontId="73" fillId="2" borderId="0" xfId="0" applyFont="1" applyFill="1" applyAlignment="1" applyProtection="1">
      <alignment horizontal="left" vertical="center"/>
    </xf>
    <xf numFmtId="0" fontId="74" fillId="2" borderId="0" xfId="0" applyFont="1" applyFill="1" applyProtection="1"/>
    <xf numFmtId="0" fontId="20" fillId="2" borderId="0" xfId="0" applyFont="1" applyFill="1" applyProtection="1"/>
    <xf numFmtId="0" fontId="17" fillId="2" borderId="0" xfId="0" applyFont="1" applyFill="1" applyProtection="1"/>
    <xf numFmtId="0" fontId="75" fillId="2" borderId="0" xfId="0" applyFont="1" applyFill="1" applyAlignment="1" applyProtection="1">
      <alignment horizontal="center" vertical="center" wrapText="1"/>
    </xf>
    <xf numFmtId="0" fontId="27" fillId="5" borderId="27" xfId="0" applyFont="1" applyFill="1" applyBorder="1" applyAlignment="1" applyProtection="1">
      <alignment horizontal="center" vertical="center" wrapText="1"/>
    </xf>
    <xf numFmtId="49" fontId="4" fillId="2" borderId="4" xfId="0" applyNumberFormat="1" applyFont="1" applyFill="1" applyBorder="1" applyAlignment="1" applyProtection="1">
      <alignment horizontal="left" wrapText="1"/>
    </xf>
    <xf numFmtId="0" fontId="18" fillId="2" borderId="4" xfId="0" applyFont="1" applyFill="1" applyBorder="1" applyAlignment="1" applyProtection="1">
      <alignment wrapText="1"/>
    </xf>
    <xf numFmtId="0" fontId="77" fillId="2" borderId="4" xfId="0" applyFont="1" applyFill="1" applyBorder="1" applyAlignment="1" applyProtection="1">
      <alignment vertical="top" wrapText="1"/>
    </xf>
    <xf numFmtId="0" fontId="0" fillId="2" borderId="0" xfId="0" applyFill="1" applyAlignment="1" applyProtection="1">
      <alignment vertical="top"/>
    </xf>
    <xf numFmtId="14" fontId="78" fillId="6" borderId="4" xfId="0" applyNumberFormat="1" applyFont="1" applyFill="1" applyBorder="1" applyProtection="1"/>
    <xf numFmtId="4" fontId="2" fillId="2" borderId="73" xfId="0" applyNumberFormat="1" applyFont="1" applyFill="1" applyBorder="1" applyProtection="1"/>
    <xf numFmtId="0" fontId="17" fillId="6" borderId="4" xfId="0" applyFont="1" applyFill="1" applyBorder="1" applyProtection="1"/>
    <xf numFmtId="14" fontId="78" fillId="2" borderId="4" xfId="0" applyNumberFormat="1" applyFont="1" applyFill="1" applyBorder="1" applyProtection="1"/>
    <xf numFmtId="4" fontId="2" fillId="2" borderId="0" xfId="0" applyNumberFormat="1" applyFont="1" applyFill="1" applyProtection="1"/>
    <xf numFmtId="4" fontId="77" fillId="2" borderId="0" xfId="0" applyNumberFormat="1" applyFont="1" applyFill="1" applyAlignment="1" applyProtection="1">
      <alignment vertical="top"/>
    </xf>
    <xf numFmtId="0" fontId="0" fillId="2" borderId="0" xfId="0" applyFill="1" applyAlignment="1" applyProtection="1">
      <alignment horizontal="center" wrapText="1"/>
    </xf>
    <xf numFmtId="2" fontId="0" fillId="7" borderId="0" xfId="0" applyNumberFormat="1" applyFill="1" applyProtection="1"/>
    <xf numFmtId="2" fontId="77" fillId="2" borderId="0" xfId="0" applyNumberFormat="1" applyFont="1" applyFill="1" applyAlignment="1" applyProtection="1">
      <alignment vertical="top"/>
    </xf>
    <xf numFmtId="0" fontId="50" fillId="2" borderId="0" xfId="0" applyFont="1" applyFill="1" applyProtection="1"/>
    <xf numFmtId="0" fontId="76" fillId="2" borderId="0" xfId="0" applyFont="1" applyFill="1" applyAlignment="1" applyProtection="1">
      <alignment wrapText="1"/>
    </xf>
    <xf numFmtId="0" fontId="50" fillId="2" borderId="0" xfId="0" applyFont="1" applyFill="1" applyAlignment="1" applyProtection="1">
      <alignment vertical="top"/>
    </xf>
    <xf numFmtId="0" fontId="76" fillId="2" borderId="0" xfId="0" applyFont="1" applyFill="1" applyProtection="1"/>
    <xf numFmtId="1" fontId="50" fillId="2" borderId="0" xfId="0" applyNumberFormat="1" applyFont="1" applyFill="1" applyProtection="1"/>
    <xf numFmtId="0" fontId="50" fillId="2" borderId="0" xfId="0" applyNumberFormat="1" applyFont="1" applyFill="1" applyAlignment="1" applyProtection="1">
      <alignment vertical="top"/>
    </xf>
    <xf numFmtId="1" fontId="50" fillId="2" borderId="0" xfId="0" applyNumberFormat="1" applyFont="1" applyFill="1" applyAlignment="1" applyProtection="1">
      <alignment vertical="top"/>
    </xf>
    <xf numFmtId="0" fontId="26" fillId="2" borderId="0" xfId="0" applyFont="1" applyFill="1" applyAlignment="1">
      <alignment horizontal="left"/>
    </xf>
    <xf numFmtId="166" fontId="26" fillId="6" borderId="7" xfId="0" applyNumberFormat="1" applyFont="1" applyFill="1" applyBorder="1" applyAlignment="1">
      <alignment horizontal="center" vertical="center"/>
    </xf>
    <xf numFmtId="0" fontId="26" fillId="6" borderId="4" xfId="0" applyFont="1" applyFill="1" applyBorder="1" applyAlignment="1">
      <alignment horizontal="left"/>
    </xf>
    <xf numFmtId="14" fontId="26" fillId="0" borderId="7" xfId="0" applyNumberFormat="1" applyFont="1" applyFill="1" applyBorder="1" applyAlignment="1" applyProtection="1">
      <alignment horizontal="center" vertical="center"/>
      <protection locked="0"/>
    </xf>
    <xf numFmtId="0" fontId="26" fillId="6" borderId="4" xfId="0" applyFont="1" applyFill="1" applyBorder="1" applyAlignment="1">
      <alignment horizontal="left" wrapText="1"/>
    </xf>
    <xf numFmtId="1" fontId="26" fillId="6" borderId="4" xfId="0" applyNumberFormat="1" applyFont="1" applyFill="1" applyBorder="1" applyAlignment="1">
      <alignment horizontal="center" vertical="center"/>
    </xf>
    <xf numFmtId="1" fontId="26" fillId="6" borderId="22" xfId="0" applyNumberFormat="1" applyFont="1" applyFill="1" applyBorder="1" applyAlignment="1">
      <alignment horizontal="center" vertical="center"/>
    </xf>
    <xf numFmtId="1" fontId="26" fillId="6" borderId="7" xfId="0" applyNumberFormat="1" applyFont="1" applyFill="1" applyBorder="1" applyAlignment="1">
      <alignment horizontal="center" vertical="center"/>
    </xf>
    <xf numFmtId="14" fontId="26" fillId="6" borderId="4" xfId="0" applyNumberFormat="1" applyFont="1" applyFill="1" applyBorder="1" applyAlignment="1" applyProtection="1">
      <alignment horizontal="left" vertical="center" wrapText="1"/>
      <protection locked="0"/>
    </xf>
    <xf numFmtId="4" fontId="26" fillId="0" borderId="4" xfId="1" applyNumberFormat="1" applyFont="1" applyFill="1" applyBorder="1" applyAlignment="1" applyProtection="1">
      <alignment horizontal="center" vertical="center"/>
      <protection locked="0"/>
    </xf>
    <xf numFmtId="4" fontId="26" fillId="0" borderId="2" xfId="1" applyNumberFormat="1" applyFont="1" applyFill="1" applyBorder="1" applyAlignment="1" applyProtection="1">
      <alignment horizontal="center" vertical="center"/>
      <protection locked="0"/>
    </xf>
    <xf numFmtId="0" fontId="27" fillId="5" borderId="58"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6" fillId="6" borderId="24" xfId="0" applyFont="1" applyFill="1" applyBorder="1" applyAlignment="1">
      <alignment horizontal="center" vertical="center"/>
    </xf>
    <xf numFmtId="4" fontId="26" fillId="0" borderId="9" xfId="1" applyNumberFormat="1" applyFont="1" applyFill="1" applyBorder="1" applyAlignment="1" applyProtection="1">
      <alignment horizontal="center" vertical="center"/>
      <protection locked="0"/>
    </xf>
    <xf numFmtId="0" fontId="23" fillId="2" borderId="0" xfId="0" applyFont="1" applyFill="1" applyAlignment="1">
      <alignment vertical="center"/>
    </xf>
    <xf numFmtId="0" fontId="26" fillId="2" borderId="33" xfId="0" applyFont="1" applyFill="1" applyBorder="1" applyAlignment="1">
      <alignment vertical="center"/>
    </xf>
    <xf numFmtId="0" fontId="89" fillId="2" borderId="0" xfId="0" applyFont="1" applyFill="1" applyBorder="1" applyAlignment="1">
      <alignment horizontal="left"/>
    </xf>
    <xf numFmtId="0" fontId="18" fillId="0" borderId="0" xfId="0" applyFont="1" applyAlignment="1" applyProtection="1">
      <alignment wrapText="1"/>
    </xf>
    <xf numFmtId="0" fontId="23" fillId="2" borderId="0" xfId="0" applyFont="1" applyFill="1" applyBorder="1" applyAlignment="1">
      <alignment vertical="center" wrapText="1"/>
    </xf>
    <xf numFmtId="0" fontId="50" fillId="0" borderId="0" xfId="0" applyFont="1" applyAlignment="1" applyProtection="1">
      <alignment vertical="center" wrapText="1"/>
    </xf>
    <xf numFmtId="0" fontId="8" fillId="0" borderId="0" xfId="0" applyFont="1" applyFill="1" applyBorder="1" applyAlignment="1">
      <alignment wrapText="1"/>
    </xf>
    <xf numFmtId="4" fontId="17" fillId="7" borderId="51" xfId="2" applyNumberFormat="1" applyFill="1" applyBorder="1" applyAlignment="1">
      <alignment wrapText="1"/>
    </xf>
    <xf numFmtId="0" fontId="87" fillId="2" borderId="0" xfId="0" applyFont="1" applyFill="1" applyBorder="1" applyAlignment="1">
      <alignment horizontal="left"/>
    </xf>
    <xf numFmtId="0" fontId="19" fillId="0" borderId="0" xfId="0" applyFont="1" applyProtection="1"/>
    <xf numFmtId="0" fontId="0" fillId="3" borderId="0" xfId="0" applyFill="1" applyProtection="1">
      <protection hidden="1"/>
    </xf>
    <xf numFmtId="0" fontId="0" fillId="0" borderId="0" xfId="0" applyAlignment="1" applyProtection="1"/>
    <xf numFmtId="0" fontId="0" fillId="3" borderId="0" xfId="0" applyFill="1" applyAlignment="1" applyProtection="1">
      <alignment wrapText="1"/>
    </xf>
    <xf numFmtId="0" fontId="26" fillId="2" borderId="0" xfId="0" applyFont="1" applyFill="1" applyAlignment="1"/>
    <xf numFmtId="0" fontId="25" fillId="2" borderId="0" xfId="0" applyFont="1" applyFill="1" applyBorder="1"/>
    <xf numFmtId="0" fontId="24" fillId="2" borderId="0" xfId="0" applyFont="1" applyFill="1" applyBorder="1"/>
    <xf numFmtId="0" fontId="90" fillId="2" borderId="0" xfId="0" applyFont="1" applyFill="1" applyBorder="1" applyAlignment="1">
      <alignment horizontal="center" vertical="center"/>
    </xf>
    <xf numFmtId="0" fontId="57" fillId="0" borderId="4" xfId="3" applyNumberFormat="1" applyFont="1" applyBorder="1" applyAlignment="1">
      <alignment wrapText="1"/>
    </xf>
    <xf numFmtId="164" fontId="23" fillId="5" borderId="74" xfId="0" applyNumberFormat="1" applyFont="1" applyFill="1" applyBorder="1" applyAlignment="1">
      <alignment horizontal="center" vertical="center"/>
    </xf>
    <xf numFmtId="164" fontId="23" fillId="7" borderId="1" xfId="0" applyNumberFormat="1" applyFont="1" applyFill="1" applyBorder="1" applyAlignment="1">
      <alignment horizontal="center" vertical="center"/>
    </xf>
    <xf numFmtId="0" fontId="91" fillId="2" borderId="0" xfId="0" applyFont="1" applyFill="1" applyBorder="1"/>
    <xf numFmtId="0" fontId="22" fillId="2" borderId="0" xfId="0" applyFont="1" applyFill="1" applyBorder="1" applyAlignment="1"/>
    <xf numFmtId="12" fontId="26" fillId="6" borderId="4" xfId="0" applyNumberFormat="1" applyFont="1" applyFill="1" applyBorder="1" applyAlignment="1">
      <alignment horizontal="center" vertical="center"/>
    </xf>
    <xf numFmtId="2" fontId="20" fillId="0" borderId="24" xfId="2" applyNumberFormat="1" applyFont="1" applyBorder="1" applyAlignment="1">
      <alignment wrapText="1"/>
    </xf>
    <xf numFmtId="4" fontId="17" fillId="4" borderId="4" xfId="2" applyNumberFormat="1" applyFont="1" applyFill="1" applyBorder="1" applyAlignment="1" applyProtection="1">
      <alignment wrapText="1"/>
      <protection locked="0"/>
    </xf>
    <xf numFmtId="0" fontId="26" fillId="2" borderId="0" xfId="0" applyFont="1" applyFill="1" applyBorder="1" applyAlignment="1"/>
    <xf numFmtId="0" fontId="26" fillId="2" borderId="0" xfId="0" applyFont="1" applyFill="1" applyBorder="1" applyAlignment="1">
      <alignment horizontal="left"/>
    </xf>
    <xf numFmtId="0" fontId="27" fillId="5" borderId="54" xfId="0" applyFont="1" applyFill="1" applyBorder="1" applyAlignment="1">
      <alignment horizontal="center" vertical="center" wrapText="1"/>
    </xf>
    <xf numFmtId="4" fontId="27" fillId="5" borderId="35" xfId="0" applyNumberFormat="1" applyFont="1" applyFill="1" applyBorder="1" applyAlignment="1">
      <alignment horizontal="center" vertical="center" wrapText="1"/>
    </xf>
    <xf numFmtId="0" fontId="27" fillId="6" borderId="2" xfId="0" applyFont="1" applyFill="1" applyBorder="1" applyAlignment="1">
      <alignment horizontal="center"/>
    </xf>
    <xf numFmtId="1" fontId="26" fillId="6" borderId="2" xfId="0" applyNumberFormat="1" applyFont="1" applyFill="1" applyBorder="1" applyAlignment="1">
      <alignment horizontal="center" vertical="center"/>
    </xf>
    <xf numFmtId="166" fontId="26" fillId="6" borderId="2" xfId="0" applyNumberFormat="1" applyFont="1" applyFill="1" applyBorder="1" applyAlignment="1">
      <alignment horizontal="center" vertical="center"/>
    </xf>
    <xf numFmtId="0" fontId="26" fillId="2" borderId="0" xfId="0" applyFont="1" applyFill="1" applyBorder="1" applyAlignment="1">
      <alignment vertical="center"/>
    </xf>
    <xf numFmtId="12" fontId="26" fillId="6" borderId="7" xfId="0" applyNumberFormat="1" applyFont="1" applyFill="1" applyBorder="1" applyAlignment="1">
      <alignment horizontal="center" vertical="center"/>
    </xf>
    <xf numFmtId="3" fontId="17" fillId="7" borderId="42" xfId="2" applyNumberFormat="1" applyFill="1" applyBorder="1" applyAlignment="1" applyProtection="1">
      <alignment wrapText="1"/>
      <protection locked="0"/>
    </xf>
    <xf numFmtId="3" fontId="17" fillId="7" borderId="11" xfId="2" applyNumberFormat="1" applyFill="1" applyBorder="1" applyAlignment="1" applyProtection="1">
      <alignment wrapText="1"/>
      <protection locked="0"/>
    </xf>
    <xf numFmtId="164" fontId="80" fillId="2" borderId="0" xfId="0" applyNumberFormat="1" applyFont="1" applyFill="1" applyBorder="1" applyAlignment="1"/>
    <xf numFmtId="4" fontId="23" fillId="2" borderId="0" xfId="0" applyNumberFormat="1" applyFont="1" applyFill="1" applyBorder="1" applyAlignment="1">
      <alignment vertical="center"/>
    </xf>
    <xf numFmtId="0" fontId="0" fillId="0" borderId="4" xfId="7" applyFont="1" applyBorder="1" applyAlignment="1" applyProtection="1">
      <alignment wrapText="1"/>
    </xf>
    <xf numFmtId="4" fontId="0" fillId="4" borderId="4" xfId="7" applyNumberFormat="1" applyFont="1" applyFill="1" applyBorder="1" applyAlignment="1" applyProtection="1">
      <alignment wrapText="1"/>
      <protection locked="0"/>
    </xf>
    <xf numFmtId="0" fontId="18" fillId="0" borderId="0" xfId="7" applyFont="1" applyFill="1" applyBorder="1" applyAlignment="1" applyProtection="1">
      <alignment horizontal="center" vertical="center"/>
    </xf>
    <xf numFmtId="4" fontId="0" fillId="4" borderId="31" xfId="7" applyNumberFormat="1" applyFont="1" applyFill="1" applyBorder="1" applyAlignment="1" applyProtection="1">
      <alignment wrapText="1"/>
      <protection locked="0"/>
    </xf>
    <xf numFmtId="0" fontId="27" fillId="5" borderId="55" xfId="0" applyFont="1" applyFill="1" applyBorder="1" applyAlignment="1">
      <alignment horizontal="center" vertical="center" wrapText="1"/>
    </xf>
    <xf numFmtId="0" fontId="26" fillId="6" borderId="42" xfId="0" applyFont="1" applyFill="1" applyBorder="1" applyAlignment="1">
      <alignment horizontal="left" vertical="top"/>
    </xf>
    <xf numFmtId="14" fontId="26" fillId="0" borderId="11" xfId="0" applyNumberFormat="1" applyFont="1" applyFill="1" applyBorder="1" applyAlignment="1" applyProtection="1">
      <alignment horizontal="center" vertical="center"/>
      <protection locked="0"/>
    </xf>
    <xf numFmtId="0" fontId="26" fillId="6" borderId="42" xfId="0" applyFont="1" applyFill="1" applyBorder="1" applyAlignment="1">
      <alignment horizontal="left" wrapText="1"/>
    </xf>
    <xf numFmtId="0" fontId="22" fillId="0" borderId="0" xfId="0" applyFont="1" applyFill="1" applyBorder="1" applyAlignment="1" applyProtection="1">
      <alignment horizontal="center"/>
    </xf>
    <xf numFmtId="4" fontId="0" fillId="0" borderId="0" xfId="7" applyNumberFormat="1" applyFont="1" applyFill="1" applyBorder="1" applyAlignment="1" applyProtection="1">
      <alignment horizontal="center" wrapText="1"/>
    </xf>
    <xf numFmtId="4" fontId="49" fillId="22" borderId="4" xfId="7" applyNumberFormat="1" applyFont="1" applyFill="1" applyBorder="1" applyAlignment="1" applyProtection="1">
      <alignment horizontal="center" wrapText="1"/>
    </xf>
    <xf numFmtId="0" fontId="22" fillId="0" borderId="0" xfId="0" applyFont="1" applyFill="1" applyAlignment="1" applyProtection="1">
      <alignment horizontal="center"/>
    </xf>
    <xf numFmtId="0" fontId="22" fillId="0" borderId="0" xfId="0" applyFont="1" applyFill="1" applyAlignment="1" applyProtection="1">
      <alignment horizontal="center" vertical="center"/>
    </xf>
    <xf numFmtId="0" fontId="23" fillId="0" borderId="0" xfId="0" applyFont="1" applyFill="1" applyAlignment="1" applyProtection="1">
      <alignment horizontal="center"/>
    </xf>
    <xf numFmtId="14" fontId="22" fillId="0" borderId="0" xfId="0" applyNumberFormat="1" applyFont="1" applyBorder="1"/>
    <xf numFmtId="10" fontId="22" fillId="0" borderId="0" xfId="0" applyNumberFormat="1" applyFont="1" applyBorder="1"/>
    <xf numFmtId="0" fontId="22" fillId="22" borderId="0" xfId="0" applyFont="1" applyFill="1" applyBorder="1"/>
    <xf numFmtId="2" fontId="45" fillId="14" borderId="4" xfId="0" applyNumberFormat="1" applyFont="1" applyFill="1" applyBorder="1" applyAlignment="1">
      <alignment wrapText="1"/>
    </xf>
    <xf numFmtId="0" fontId="0" fillId="23" borderId="4" xfId="0" applyFill="1" applyBorder="1" applyAlignment="1">
      <alignment wrapText="1"/>
    </xf>
    <xf numFmtId="0" fontId="18" fillId="0" borderId="4" xfId="0" applyFont="1" applyBorder="1"/>
    <xf numFmtId="0" fontId="48" fillId="4" borderId="4" xfId="0" applyFont="1" applyFill="1" applyBorder="1" applyAlignment="1">
      <alignment wrapText="1"/>
    </xf>
    <xf numFmtId="0" fontId="0" fillId="4" borderId="4" xfId="0" applyFill="1" applyBorder="1" applyAlignment="1">
      <alignment wrapText="1"/>
    </xf>
    <xf numFmtId="166" fontId="36" fillId="16" borderId="4" xfId="2" applyNumberFormat="1" applyFont="1" applyFill="1" applyBorder="1" applyAlignment="1">
      <alignment wrapText="1"/>
    </xf>
    <xf numFmtId="166" fontId="36" fillId="16" borderId="9" xfId="2" applyNumberFormat="1" applyFont="1" applyFill="1" applyBorder="1" applyAlignment="1">
      <alignment wrapText="1"/>
    </xf>
    <xf numFmtId="166" fontId="36" fillId="16" borderId="2" xfId="2" applyNumberFormat="1" applyFont="1" applyFill="1" applyBorder="1" applyAlignment="1">
      <alignment wrapText="1"/>
    </xf>
    <xf numFmtId="3" fontId="26" fillId="0" borderId="2" xfId="1" applyNumberFormat="1" applyFont="1" applyFill="1" applyBorder="1" applyAlignment="1" applyProtection="1">
      <alignment horizontal="center" vertical="center"/>
      <protection locked="0"/>
    </xf>
    <xf numFmtId="166" fontId="36" fillId="16" borderId="58" xfId="2" applyNumberFormat="1" applyFont="1" applyFill="1" applyBorder="1" applyAlignment="1">
      <alignment wrapText="1"/>
    </xf>
    <xf numFmtId="166" fontId="36" fillId="16" borderId="8" xfId="2" applyNumberFormat="1" applyFont="1" applyFill="1" applyBorder="1" applyAlignment="1">
      <alignment wrapText="1"/>
    </xf>
    <xf numFmtId="166" fontId="36" fillId="0" borderId="28" xfId="2" applyNumberFormat="1" applyFont="1" applyBorder="1" applyAlignment="1">
      <alignment horizontal="center" wrapText="1"/>
    </xf>
    <xf numFmtId="0" fontId="34" fillId="0" borderId="2" xfId="2" applyFont="1" applyBorder="1" applyAlignment="1">
      <alignment wrapText="1"/>
    </xf>
    <xf numFmtId="166" fontId="34" fillId="0" borderId="16" xfId="2" applyNumberFormat="1" applyFont="1" applyFill="1" applyBorder="1" applyAlignment="1">
      <alignment wrapText="1"/>
    </xf>
    <xf numFmtId="0" fontId="39" fillId="0" borderId="39" xfId="2" applyFont="1" applyBorder="1" applyAlignment="1">
      <alignment horizontal="right" wrapText="1"/>
    </xf>
    <xf numFmtId="2" fontId="39" fillId="0" borderId="42" xfId="2" applyNumberFormat="1" applyFont="1" applyBorder="1" applyAlignment="1">
      <alignment horizontal="right" wrapText="1"/>
    </xf>
    <xf numFmtId="166" fontId="36" fillId="0" borderId="42" xfId="2" applyNumberFormat="1" applyFont="1" applyBorder="1" applyAlignment="1">
      <alignment wrapText="1"/>
    </xf>
    <xf numFmtId="2" fontId="39" fillId="0" borderId="46" xfId="2" applyNumberFormat="1" applyFont="1" applyBorder="1" applyAlignment="1">
      <alignment horizontal="right" wrapText="1"/>
    </xf>
    <xf numFmtId="2" fontId="39" fillId="0" borderId="42" xfId="2" applyNumberFormat="1" applyFont="1" applyBorder="1" applyAlignment="1">
      <alignment wrapText="1"/>
    </xf>
    <xf numFmtId="2" fontId="39" fillId="0" borderId="46" xfId="2" applyNumberFormat="1" applyFont="1" applyBorder="1" applyAlignment="1">
      <alignment wrapText="1"/>
    </xf>
    <xf numFmtId="0" fontId="39" fillId="3" borderId="11" xfId="2" applyFont="1" applyFill="1" applyBorder="1" applyAlignment="1">
      <alignment wrapText="1"/>
    </xf>
    <xf numFmtId="0" fontId="39" fillId="3" borderId="46" xfId="2" applyFont="1" applyFill="1" applyBorder="1" applyAlignment="1">
      <alignment wrapText="1"/>
    </xf>
    <xf numFmtId="0" fontId="18" fillId="0" borderId="76" xfId="2" applyFont="1" applyBorder="1" applyAlignment="1">
      <alignment horizontal="center" vertical="center" wrapText="1"/>
    </xf>
    <xf numFmtId="166" fontId="35" fillId="0" borderId="37" xfId="2" applyNumberFormat="1" applyFont="1" applyBorder="1" applyAlignment="1">
      <alignment wrapText="1"/>
    </xf>
    <xf numFmtId="166" fontId="35" fillId="0" borderId="40" xfId="2" applyNumberFormat="1" applyFont="1" applyBorder="1" applyAlignment="1">
      <alignment wrapText="1"/>
    </xf>
    <xf numFmtId="166" fontId="34" fillId="0" borderId="19" xfId="2" applyNumberFormat="1" applyFont="1" applyBorder="1" applyAlignment="1">
      <alignment wrapText="1"/>
    </xf>
    <xf numFmtId="166" fontId="34" fillId="0" borderId="19" xfId="2" applyNumberFormat="1" applyFont="1" applyFill="1" applyBorder="1" applyAlignment="1">
      <alignment wrapText="1"/>
    </xf>
    <xf numFmtId="166" fontId="34" fillId="0" borderId="43" xfId="2" applyNumberFormat="1" applyFont="1" applyFill="1" applyBorder="1" applyAlignment="1">
      <alignment wrapText="1"/>
    </xf>
    <xf numFmtId="4" fontId="38" fillId="0" borderId="71" xfId="2" applyNumberFormat="1" applyFont="1" applyBorder="1" applyAlignment="1">
      <alignment wrapText="1"/>
    </xf>
    <xf numFmtId="4" fontId="38" fillId="0" borderId="30" xfId="2" applyNumberFormat="1" applyFont="1" applyBorder="1" applyAlignment="1">
      <alignment wrapText="1"/>
    </xf>
    <xf numFmtId="0" fontId="35" fillId="0" borderId="34" xfId="2" applyFont="1" applyBorder="1" applyAlignment="1">
      <alignment wrapText="1"/>
    </xf>
    <xf numFmtId="0" fontId="35" fillId="3" borderId="29" xfId="2" applyFont="1" applyFill="1" applyBorder="1" applyAlignment="1">
      <alignment wrapText="1"/>
    </xf>
    <xf numFmtId="4" fontId="44" fillId="3" borderId="21" xfId="2" applyNumberFormat="1" applyFont="1" applyFill="1" applyBorder="1" applyAlignment="1">
      <alignment wrapText="1"/>
    </xf>
    <xf numFmtId="0" fontId="35" fillId="3" borderId="45" xfId="2" applyFont="1" applyFill="1" applyBorder="1" applyAlignment="1">
      <alignment wrapText="1"/>
    </xf>
    <xf numFmtId="4" fontId="44" fillId="3" borderId="3" xfId="2" applyNumberFormat="1" applyFont="1" applyFill="1" applyBorder="1" applyAlignment="1">
      <alignment wrapText="1"/>
    </xf>
    <xf numFmtId="166" fontId="34" fillId="0" borderId="13" xfId="2" applyNumberFormat="1" applyFont="1" applyFill="1" applyBorder="1" applyAlignment="1">
      <alignment wrapText="1"/>
    </xf>
    <xf numFmtId="166" fontId="34" fillId="0" borderId="22" xfId="2" applyNumberFormat="1" applyFont="1" applyFill="1" applyBorder="1" applyAlignment="1">
      <alignment wrapText="1"/>
    </xf>
    <xf numFmtId="166" fontId="35" fillId="16" borderId="1" xfId="2" applyNumberFormat="1" applyFont="1" applyFill="1" applyBorder="1" applyAlignment="1">
      <alignment wrapText="1"/>
    </xf>
    <xf numFmtId="166" fontId="44" fillId="16" borderId="1" xfId="2" applyNumberFormat="1" applyFont="1" applyFill="1" applyBorder="1" applyAlignment="1">
      <alignment wrapText="1"/>
    </xf>
    <xf numFmtId="4" fontId="38" fillId="0" borderId="75" xfId="2" applyNumberFormat="1" applyFont="1" applyBorder="1" applyAlignment="1">
      <alignment wrapText="1"/>
    </xf>
    <xf numFmtId="0" fontId="0" fillId="7" borderId="0" xfId="0" applyFill="1" applyAlignment="1">
      <alignment wrapText="1"/>
    </xf>
    <xf numFmtId="0" fontId="0" fillId="0" borderId="4" xfId="2" applyFont="1" applyBorder="1" applyAlignment="1">
      <alignment wrapText="1"/>
    </xf>
    <xf numFmtId="165" fontId="45" fillId="17" borderId="4" xfId="0" applyNumberFormat="1" applyFont="1" applyFill="1" applyBorder="1" applyAlignment="1">
      <alignment wrapText="1"/>
    </xf>
    <xf numFmtId="165" fontId="45" fillId="0" borderId="4" xfId="0" applyNumberFormat="1" applyFont="1" applyBorder="1" applyAlignment="1">
      <alignment wrapText="1"/>
    </xf>
    <xf numFmtId="2" fontId="45" fillId="17" borderId="4" xfId="0" applyNumberFormat="1" applyFont="1" applyFill="1" applyBorder="1" applyAlignment="1">
      <alignment wrapText="1"/>
    </xf>
    <xf numFmtId="0" fontId="20" fillId="0" borderId="4" xfId="0" applyFont="1" applyBorder="1" applyAlignment="1">
      <alignment wrapText="1"/>
    </xf>
    <xf numFmtId="2" fontId="20" fillId="0" borderId="4" xfId="0" applyNumberFormat="1" applyFont="1" applyBorder="1" applyAlignment="1">
      <alignment wrapText="1"/>
    </xf>
    <xf numFmtId="0" fontId="30" fillId="0" borderId="4" xfId="0" applyFont="1" applyBorder="1" applyAlignment="1">
      <alignment horizontal="center" vertical="center" wrapText="1"/>
    </xf>
    <xf numFmtId="170" fontId="45" fillId="14" borderId="4" xfId="0" applyNumberFormat="1" applyFont="1" applyFill="1" applyBorder="1" applyAlignment="1">
      <alignment wrapText="1"/>
    </xf>
    <xf numFmtId="171" fontId="45" fillId="14" borderId="4" xfId="0" applyNumberFormat="1" applyFont="1" applyFill="1" applyBorder="1" applyAlignment="1">
      <alignment wrapText="1"/>
    </xf>
    <xf numFmtId="0" fontId="23" fillId="2" borderId="0" xfId="0" applyFont="1" applyFill="1" applyBorder="1" applyProtection="1">
      <protection locked="0"/>
    </xf>
    <xf numFmtId="14" fontId="22" fillId="2" borderId="0" xfId="0" applyNumberFormat="1" applyFont="1" applyFill="1" applyBorder="1" applyProtection="1">
      <protection locked="0"/>
    </xf>
    <xf numFmtId="14" fontId="80" fillId="2" borderId="0" xfId="0" applyNumberFormat="1" applyFont="1" applyFill="1" applyBorder="1" applyAlignment="1" applyProtection="1">
      <alignment horizontal="right"/>
      <protection locked="0"/>
    </xf>
    <xf numFmtId="0" fontId="22" fillId="2" borderId="0" xfId="0" applyFont="1" applyFill="1" applyBorder="1" applyProtection="1">
      <protection locked="0"/>
    </xf>
    <xf numFmtId="0" fontId="28" fillId="2" borderId="0" xfId="0" applyFont="1" applyFill="1" applyBorder="1" applyProtection="1">
      <protection locked="0"/>
    </xf>
    <xf numFmtId="164" fontId="27" fillId="6" borderId="23" xfId="0" applyNumberFormat="1" applyFont="1" applyFill="1" applyBorder="1" applyAlignment="1">
      <alignment horizontal="center" vertical="center"/>
    </xf>
    <xf numFmtId="164" fontId="27" fillId="6" borderId="24" xfId="0" applyNumberFormat="1" applyFont="1" applyFill="1" applyBorder="1" applyAlignment="1">
      <alignment horizontal="center" vertical="center"/>
    </xf>
    <xf numFmtId="164" fontId="27" fillId="6" borderId="21" xfId="0" applyNumberFormat="1" applyFont="1" applyFill="1" applyBorder="1" applyAlignment="1">
      <alignment horizontal="center" vertical="center"/>
    </xf>
    <xf numFmtId="164" fontId="27" fillId="6" borderId="3" xfId="0" applyNumberFormat="1" applyFont="1" applyFill="1" applyBorder="1" applyAlignment="1">
      <alignment horizontal="center" vertical="center"/>
    </xf>
    <xf numFmtId="0" fontId="26" fillId="6" borderId="22"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2" xfId="0" applyFont="1" applyFill="1" applyBorder="1" applyAlignment="1">
      <alignment horizontal="center" vertical="center"/>
    </xf>
    <xf numFmtId="3" fontId="26" fillId="0" borderId="4" xfId="1" applyNumberFormat="1" applyFont="1" applyFill="1" applyBorder="1" applyAlignment="1" applyProtection="1">
      <alignment horizontal="center" vertical="center"/>
      <protection locked="0"/>
    </xf>
    <xf numFmtId="3" fontId="26" fillId="0" borderId="22" xfId="1" applyNumberFormat="1" applyFont="1" applyFill="1" applyBorder="1" applyAlignment="1" applyProtection="1">
      <alignment horizontal="center" vertical="center"/>
      <protection locked="0"/>
    </xf>
    <xf numFmtId="0" fontId="23" fillId="2" borderId="0" xfId="0" applyFont="1" applyFill="1" applyBorder="1" applyAlignment="1">
      <alignment horizontal="left" vertical="center" wrapText="1"/>
    </xf>
    <xf numFmtId="0" fontId="80" fillId="2" borderId="0" xfId="0" applyFont="1" applyFill="1" applyBorder="1" applyAlignment="1">
      <alignment horizontal="right"/>
    </xf>
    <xf numFmtId="0" fontId="88" fillId="2" borderId="0" xfId="0" applyNumberFormat="1" applyFont="1" applyFill="1" applyBorder="1" applyAlignment="1">
      <alignment horizontal="left" vertical="center" wrapText="1"/>
    </xf>
    <xf numFmtId="1" fontId="26" fillId="6" borderId="22" xfId="0" applyNumberFormat="1" applyFont="1" applyFill="1" applyBorder="1" applyAlignment="1">
      <alignment horizontal="center" vertical="center" wrapText="1"/>
    </xf>
    <xf numFmtId="1" fontId="26" fillId="6" borderId="4" xfId="0" applyNumberFormat="1" applyFont="1" applyFill="1" applyBorder="1" applyAlignment="1">
      <alignment horizontal="center" vertical="center" wrapText="1"/>
    </xf>
    <xf numFmtId="1" fontId="26" fillId="6" borderId="7" xfId="0" applyNumberFormat="1" applyFont="1" applyFill="1" applyBorder="1" applyAlignment="1">
      <alignment horizontal="center" vertical="center" wrapText="1"/>
    </xf>
    <xf numFmtId="0" fontId="26" fillId="6" borderId="4" xfId="0" applyFont="1" applyFill="1" applyBorder="1" applyAlignment="1">
      <alignment horizontal="left" wrapText="1"/>
    </xf>
    <xf numFmtId="0" fontId="26" fillId="6" borderId="16" xfId="0" applyFont="1" applyFill="1" applyBorder="1" applyAlignment="1">
      <alignment horizontal="left"/>
    </xf>
    <xf numFmtId="0" fontId="26" fillId="6" borderId="9" xfId="0" applyFont="1" applyFill="1" applyBorder="1" applyAlignment="1">
      <alignment horizontal="left"/>
    </xf>
    <xf numFmtId="3" fontId="26" fillId="0" borderId="9" xfId="1" applyNumberFormat="1" applyFont="1" applyFill="1" applyBorder="1" applyAlignment="1" applyProtection="1">
      <alignment horizontal="center" vertical="center"/>
      <protection locked="0"/>
    </xf>
    <xf numFmtId="3" fontId="26" fillId="0" borderId="4" xfId="1" applyNumberFormat="1" applyFont="1" applyFill="1" applyBorder="1" applyAlignment="1" applyProtection="1">
      <alignment horizontal="center" vertical="center"/>
      <protection locked="0"/>
    </xf>
    <xf numFmtId="3" fontId="26" fillId="0" borderId="7" xfId="1" applyNumberFormat="1" applyFont="1" applyFill="1" applyBorder="1" applyAlignment="1" applyProtection="1">
      <alignment horizontal="center" vertical="center"/>
      <protection locked="0"/>
    </xf>
    <xf numFmtId="0" fontId="27" fillId="6" borderId="22"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7" xfId="0" applyFont="1" applyFill="1" applyBorder="1" applyAlignment="1">
      <alignment horizontal="center" vertical="center"/>
    </xf>
    <xf numFmtId="0" fontId="26" fillId="6" borderId="39" xfId="0" applyFont="1" applyFill="1" applyBorder="1" applyAlignment="1">
      <alignment horizontal="left" wrapText="1"/>
    </xf>
    <xf numFmtId="0" fontId="26" fillId="6" borderId="22" xfId="0" applyFont="1" applyFill="1" applyBorder="1" applyAlignment="1">
      <alignment horizontal="left" wrapText="1"/>
    </xf>
    <xf numFmtId="0" fontId="27" fillId="6" borderId="9" xfId="0" applyFont="1" applyFill="1" applyBorder="1" applyAlignment="1">
      <alignment horizontal="center" vertical="center"/>
    </xf>
    <xf numFmtId="164" fontId="27" fillId="6" borderId="20" xfId="0" applyNumberFormat="1" applyFont="1" applyFill="1" applyBorder="1" applyAlignment="1">
      <alignment horizontal="center" vertical="center"/>
    </xf>
    <xf numFmtId="164" fontId="27" fillId="6" borderId="24" xfId="0" applyNumberFormat="1" applyFont="1" applyFill="1" applyBorder="1" applyAlignment="1">
      <alignment horizontal="center" vertical="center"/>
    </xf>
    <xf numFmtId="164" fontId="27" fillId="6" borderId="21" xfId="0" applyNumberFormat="1" applyFont="1" applyFill="1" applyBorder="1" applyAlignment="1">
      <alignment horizontal="center" vertical="center"/>
    </xf>
    <xf numFmtId="1" fontId="26" fillId="6" borderId="9" xfId="0" applyNumberFormat="1" applyFont="1" applyFill="1" applyBorder="1" applyAlignment="1" applyProtection="1">
      <alignment horizontal="center" vertical="center" wrapText="1"/>
    </xf>
    <xf numFmtId="1" fontId="26" fillId="6" borderId="4" xfId="0" applyNumberFormat="1" applyFont="1" applyFill="1" applyBorder="1" applyAlignment="1" applyProtection="1">
      <alignment horizontal="center" vertical="center" wrapText="1"/>
    </xf>
    <xf numFmtId="1" fontId="26" fillId="6" borderId="7" xfId="0" applyNumberFormat="1" applyFont="1" applyFill="1" applyBorder="1" applyAlignment="1" applyProtection="1">
      <alignment horizontal="center" vertical="center" wrapText="1"/>
    </xf>
    <xf numFmtId="167" fontId="26" fillId="6" borderId="9" xfId="0" applyNumberFormat="1" applyFont="1" applyFill="1" applyBorder="1" applyAlignment="1">
      <alignment horizontal="center" vertical="center"/>
    </xf>
    <xf numFmtId="167" fontId="26" fillId="6" borderId="4" xfId="0" applyNumberFormat="1" applyFont="1" applyFill="1" applyBorder="1" applyAlignment="1">
      <alignment horizontal="center" vertical="center"/>
    </xf>
    <xf numFmtId="167" fontId="26" fillId="6" borderId="7" xfId="0" applyNumberFormat="1" applyFont="1" applyFill="1" applyBorder="1" applyAlignment="1">
      <alignment horizontal="center" vertical="center"/>
    </xf>
    <xf numFmtId="1" fontId="26" fillId="6" borderId="22" xfId="0" applyNumberFormat="1" applyFont="1" applyFill="1" applyBorder="1" applyAlignment="1" applyProtection="1">
      <alignment horizontal="center" vertical="center" wrapText="1"/>
    </xf>
    <xf numFmtId="3" fontId="26" fillId="0" borderId="58" xfId="1" applyNumberFormat="1" applyFont="1" applyFill="1" applyBorder="1" applyAlignment="1" applyProtection="1">
      <alignment horizontal="center" vertical="center"/>
      <protection locked="0"/>
    </xf>
    <xf numFmtId="3" fontId="26" fillId="0" borderId="8" xfId="1" applyNumberFormat="1" applyFont="1" applyFill="1" applyBorder="1" applyAlignment="1" applyProtection="1">
      <alignment horizontal="center" vertical="center"/>
      <protection locked="0"/>
    </xf>
    <xf numFmtId="3" fontId="26" fillId="0" borderId="27" xfId="1" applyNumberFormat="1" applyFont="1" applyFill="1" applyBorder="1" applyAlignment="1" applyProtection="1">
      <alignment horizontal="center" vertical="center"/>
      <protection locked="0"/>
    </xf>
    <xf numFmtId="167" fontId="26" fillId="6" borderId="22" xfId="0" applyNumberFormat="1" applyFont="1" applyFill="1" applyBorder="1" applyAlignment="1">
      <alignment horizontal="center" vertical="center"/>
    </xf>
    <xf numFmtId="0" fontId="23" fillId="5" borderId="61" xfId="0" applyFont="1" applyFill="1" applyBorder="1" applyAlignment="1">
      <alignment horizontal="left" vertical="center"/>
    </xf>
    <xf numFmtId="0" fontId="23" fillId="5" borderId="62" xfId="0" applyFont="1" applyFill="1" applyBorder="1" applyAlignment="1">
      <alignment horizontal="left" vertical="center"/>
    </xf>
    <xf numFmtId="0" fontId="23" fillId="5" borderId="63" xfId="0" applyFont="1" applyFill="1" applyBorder="1" applyAlignment="1">
      <alignment horizontal="left" vertical="center"/>
    </xf>
    <xf numFmtId="0" fontId="26" fillId="5" borderId="68" xfId="0" applyFont="1" applyFill="1" applyBorder="1" applyAlignment="1">
      <alignment horizontal="center" wrapText="1"/>
    </xf>
    <xf numFmtId="0" fontId="26" fillId="5" borderId="54" xfId="0" applyFont="1" applyFill="1" applyBorder="1" applyAlignment="1">
      <alignment horizontal="center" wrapText="1"/>
    </xf>
    <xf numFmtId="0" fontId="26" fillId="6" borderId="37" xfId="0" applyFont="1" applyFill="1" applyBorder="1" applyAlignment="1">
      <alignment horizontal="left" wrapText="1"/>
    </xf>
    <xf numFmtId="0" fontId="26" fillId="6" borderId="45" xfId="0" applyFont="1" applyFill="1" applyBorder="1" applyAlignment="1">
      <alignment horizontal="left" vertical="center" wrapText="1"/>
    </xf>
    <xf numFmtId="0" fontId="26" fillId="6" borderId="2" xfId="0" applyFont="1" applyFill="1" applyBorder="1" applyAlignment="1">
      <alignment horizontal="left" vertical="center" wrapText="1"/>
    </xf>
    <xf numFmtId="0" fontId="26" fillId="6" borderId="2" xfId="0" applyFont="1" applyFill="1" applyBorder="1" applyAlignment="1">
      <alignment horizontal="center" vertical="center"/>
    </xf>
    <xf numFmtId="0" fontId="26" fillId="6" borderId="3" xfId="0" applyFont="1" applyFill="1" applyBorder="1" applyAlignment="1">
      <alignment horizontal="center" vertical="center"/>
    </xf>
    <xf numFmtId="0" fontId="26" fillId="6" borderId="32" xfId="0" applyFont="1" applyFill="1" applyBorder="1" applyAlignment="1">
      <alignment horizontal="left" vertical="center" wrapText="1"/>
    </xf>
    <xf numFmtId="0" fontId="26" fillId="6" borderId="27" xfId="0" applyFont="1" applyFill="1" applyBorder="1" applyAlignment="1">
      <alignment horizontal="left" vertical="center" wrapText="1"/>
    </xf>
    <xf numFmtId="0" fontId="26" fillId="6" borderId="22" xfId="0" applyFont="1" applyFill="1" applyBorder="1" applyAlignment="1">
      <alignment horizontal="center" vertical="center"/>
    </xf>
    <xf numFmtId="0" fontId="26" fillId="6" borderId="23" xfId="0" applyFont="1" applyFill="1" applyBorder="1" applyAlignment="1">
      <alignment horizontal="center" vertical="center"/>
    </xf>
    <xf numFmtId="0" fontId="26" fillId="6" borderId="64" xfId="0" applyFont="1" applyFill="1" applyBorder="1" applyAlignment="1">
      <alignment horizontal="left" vertical="center"/>
    </xf>
    <xf numFmtId="0" fontId="26" fillId="6" borderId="65" xfId="0" applyFont="1" applyFill="1" applyBorder="1" applyAlignment="1">
      <alignment horizontal="left" vertical="center"/>
    </xf>
    <xf numFmtId="0" fontId="26" fillId="6" borderId="40" xfId="0" applyFont="1" applyFill="1" applyBorder="1" applyAlignment="1">
      <alignment horizontal="left" wrapText="1"/>
    </xf>
    <xf numFmtId="0" fontId="77" fillId="6" borderId="53" xfId="0" applyFont="1" applyFill="1" applyBorder="1" applyAlignment="1">
      <alignment horizontal="left" vertical="center" wrapText="1"/>
    </xf>
    <xf numFmtId="0" fontId="77" fillId="6" borderId="52" xfId="0" applyFont="1" applyFill="1" applyBorder="1" applyAlignment="1">
      <alignment horizontal="left" vertical="center" wrapText="1"/>
    </xf>
    <xf numFmtId="0" fontId="77" fillId="6" borderId="51"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2" xfId="0" applyFont="1" applyFill="1" applyBorder="1" applyAlignment="1">
      <alignment horizontal="left" vertical="center" wrapText="1"/>
    </xf>
    <xf numFmtId="4" fontId="26" fillId="6" borderId="58" xfId="1" applyNumberFormat="1" applyFont="1" applyFill="1" applyBorder="1" applyAlignment="1" applyProtection="1">
      <alignment horizontal="center" vertical="center"/>
    </xf>
    <xf numFmtId="4" fontId="26" fillId="6" borderId="27" xfId="1" applyNumberFormat="1" applyFont="1" applyFill="1" applyBorder="1" applyAlignment="1" applyProtection="1">
      <alignment horizontal="center" vertical="center"/>
    </xf>
    <xf numFmtId="0" fontId="27" fillId="6" borderId="58" xfId="0" applyFont="1" applyFill="1" applyBorder="1" applyAlignment="1">
      <alignment horizontal="center" vertical="center"/>
    </xf>
    <xf numFmtId="0" fontId="27" fillId="6" borderId="27" xfId="0" applyFont="1" applyFill="1" applyBorder="1" applyAlignment="1">
      <alignment horizontal="center" vertical="center"/>
    </xf>
    <xf numFmtId="0" fontId="27" fillId="6" borderId="58" xfId="0" applyFont="1" applyFill="1" applyBorder="1" applyAlignment="1">
      <alignment horizontal="center"/>
    </xf>
    <xf numFmtId="0" fontId="27" fillId="6" borderId="27" xfId="0" applyFont="1" applyFill="1" applyBorder="1" applyAlignment="1">
      <alignment horizontal="center"/>
    </xf>
    <xf numFmtId="164" fontId="27" fillId="6" borderId="35" xfId="0" applyNumberFormat="1" applyFont="1" applyFill="1" applyBorder="1" applyAlignment="1">
      <alignment horizontal="center" vertical="center"/>
    </xf>
    <xf numFmtId="164" fontId="27" fillId="6" borderId="30" xfId="0" applyNumberFormat="1" applyFont="1" applyFill="1" applyBorder="1" applyAlignment="1">
      <alignment horizontal="center" vertical="center"/>
    </xf>
    <xf numFmtId="0" fontId="27" fillId="6" borderId="2" xfId="0" applyFont="1" applyFill="1" applyBorder="1" applyAlignment="1">
      <alignment horizontal="center" vertical="center"/>
    </xf>
    <xf numFmtId="0" fontId="26" fillId="6" borderId="66" xfId="0" applyFont="1" applyFill="1" applyBorder="1" applyAlignment="1">
      <alignment horizontal="left" vertical="center"/>
    </xf>
    <xf numFmtId="0" fontId="26" fillId="6" borderId="67" xfId="0" applyFont="1" applyFill="1" applyBorder="1" applyAlignment="1">
      <alignment horizontal="left" vertical="center"/>
    </xf>
    <xf numFmtId="164" fontId="27" fillId="6" borderId="23" xfId="0" applyNumberFormat="1" applyFont="1" applyFill="1" applyBorder="1" applyAlignment="1">
      <alignment horizontal="center" vertical="center"/>
    </xf>
    <xf numFmtId="164" fontId="27" fillId="6" borderId="3" xfId="0" applyNumberFormat="1" applyFont="1" applyFill="1" applyBorder="1" applyAlignment="1">
      <alignment horizontal="center" vertical="center"/>
    </xf>
    <xf numFmtId="0" fontId="26" fillId="6" borderId="4" xfId="0" applyFont="1" applyFill="1" applyBorder="1" applyAlignment="1">
      <alignment horizontal="center" vertical="center"/>
    </xf>
    <xf numFmtId="0" fontId="26" fillId="6" borderId="39" xfId="0" applyFont="1" applyFill="1" applyBorder="1" applyAlignment="1">
      <alignment horizontal="left" vertical="center" wrapText="1"/>
    </xf>
    <xf numFmtId="4" fontId="26" fillId="6" borderId="22" xfId="1" applyNumberFormat="1" applyFont="1" applyFill="1" applyBorder="1" applyAlignment="1" applyProtection="1">
      <alignment horizontal="center" vertical="center"/>
    </xf>
    <xf numFmtId="4" fontId="26" fillId="6" borderId="4" xfId="1" applyNumberFormat="1" applyFont="1" applyFill="1" applyBorder="1" applyAlignment="1" applyProtection="1">
      <alignment horizontal="center" vertical="center"/>
    </xf>
    <xf numFmtId="4" fontId="26" fillId="6" borderId="2" xfId="1" applyNumberFormat="1" applyFont="1" applyFill="1" applyBorder="1" applyAlignment="1" applyProtection="1">
      <alignment horizontal="center" vertical="center"/>
    </xf>
    <xf numFmtId="0" fontId="26" fillId="6" borderId="2" xfId="0" applyFont="1" applyFill="1" applyBorder="1" applyAlignment="1">
      <alignment horizontal="left" wrapText="1"/>
    </xf>
    <xf numFmtId="166" fontId="26" fillId="6" borderId="58" xfId="0" applyNumberFormat="1" applyFont="1" applyFill="1" applyBorder="1" applyAlignment="1">
      <alignment horizontal="center" vertical="center"/>
    </xf>
    <xf numFmtId="166" fontId="26" fillId="6" borderId="27" xfId="0" applyNumberFormat="1" applyFont="1" applyFill="1" applyBorder="1" applyAlignment="1">
      <alignment horizontal="center" vertical="center"/>
    </xf>
    <xf numFmtId="0" fontId="86" fillId="2" borderId="33" xfId="0" applyFont="1" applyFill="1" applyBorder="1" applyAlignment="1">
      <alignment horizontal="left" vertical="center" wrapText="1"/>
    </xf>
    <xf numFmtId="0" fontId="86"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6" fillId="6" borderId="68" xfId="0" applyFont="1" applyFill="1" applyBorder="1" applyAlignment="1">
      <alignment horizontal="left" vertical="center" wrapText="1"/>
    </xf>
    <xf numFmtId="0" fontId="26" fillId="6" borderId="55" xfId="0" applyFont="1" applyFill="1" applyBorder="1" applyAlignment="1">
      <alignment horizontal="left" vertical="center" wrapText="1"/>
    </xf>
    <xf numFmtId="0" fontId="26" fillId="6" borderId="57" xfId="0" applyFont="1" applyFill="1" applyBorder="1" applyAlignment="1">
      <alignment horizontal="left" vertical="center" wrapText="1"/>
    </xf>
    <xf numFmtId="0" fontId="26" fillId="6" borderId="33"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69" xfId="0" applyFont="1" applyFill="1" applyBorder="1" applyAlignment="1">
      <alignment horizontal="left" vertical="center" wrapText="1"/>
    </xf>
    <xf numFmtId="0" fontId="26" fillId="6" borderId="53" xfId="0" applyFont="1" applyFill="1" applyBorder="1" applyAlignment="1">
      <alignment horizontal="left" vertical="center" wrapText="1"/>
    </xf>
    <xf numFmtId="0" fontId="26" fillId="6" borderId="52" xfId="0" applyFont="1" applyFill="1" applyBorder="1" applyAlignment="1">
      <alignment horizontal="left" vertical="center" wrapText="1"/>
    </xf>
    <xf numFmtId="0" fontId="26" fillId="6" borderId="70" xfId="0" applyFont="1" applyFill="1" applyBorder="1" applyAlignment="1">
      <alignment horizontal="left" vertical="center" wrapText="1"/>
    </xf>
    <xf numFmtId="0" fontId="18" fillId="0" borderId="31" xfId="7" applyFont="1" applyBorder="1" applyAlignment="1" applyProtection="1">
      <alignment horizontal="center" vertical="center"/>
    </xf>
    <xf numFmtId="0" fontId="18" fillId="0" borderId="42" xfId="7" applyFont="1" applyBorder="1" applyAlignment="1" applyProtection="1">
      <alignment horizontal="center" vertical="center"/>
    </xf>
    <xf numFmtId="0" fontId="26" fillId="6" borderId="7" xfId="0" applyFont="1" applyFill="1" applyBorder="1" applyAlignment="1">
      <alignment horizontal="left" wrapText="1"/>
    </xf>
    <xf numFmtId="4" fontId="22" fillId="0" borderId="4" xfId="0" applyNumberFormat="1" applyFont="1" applyFill="1" applyBorder="1" applyAlignment="1" applyProtection="1">
      <alignment horizontal="center" vertical="center"/>
    </xf>
    <xf numFmtId="0" fontId="74" fillId="2" borderId="0" xfId="0" applyFont="1" applyFill="1" applyAlignment="1" applyProtection="1">
      <alignment horizontal="center"/>
    </xf>
    <xf numFmtId="0" fontId="50" fillId="2" borderId="0" xfId="0" applyFont="1" applyFill="1" applyAlignment="1" applyProtection="1">
      <alignment horizontal="center"/>
    </xf>
    <xf numFmtId="0" fontId="49" fillId="0" borderId="0" xfId="0" applyFont="1" applyAlignment="1" applyProtection="1">
      <alignment horizontal="left" vertical="center" wrapText="1"/>
    </xf>
    <xf numFmtId="0" fontId="18" fillId="14" borderId="0" xfId="0" applyFont="1" applyFill="1" applyAlignment="1" applyProtection="1">
      <alignment horizontal="center"/>
    </xf>
    <xf numFmtId="0" fontId="50" fillId="0" borderId="10" xfId="0" applyFont="1" applyBorder="1" applyAlignment="1" applyProtection="1">
      <alignment horizontal="center" vertical="center" wrapText="1"/>
    </xf>
    <xf numFmtId="0" fontId="50" fillId="0" borderId="0" xfId="0" applyFont="1" applyAlignment="1" applyProtection="1">
      <alignment horizontal="center" vertical="center" wrapText="1"/>
    </xf>
    <xf numFmtId="0" fontId="53" fillId="8" borderId="17" xfId="2" applyFont="1" applyFill="1" applyBorder="1" applyAlignment="1">
      <alignment horizontal="center" vertical="center" wrapText="1"/>
    </xf>
    <xf numFmtId="0" fontId="53" fillId="8" borderId="60" xfId="2" applyFont="1" applyFill="1" applyBorder="1" applyAlignment="1">
      <alignment horizontal="center" vertical="center" wrapText="1"/>
    </xf>
    <xf numFmtId="0" fontId="53" fillId="8" borderId="56" xfId="2" applyFont="1" applyFill="1" applyBorder="1" applyAlignment="1">
      <alignment horizontal="center" vertical="center" wrapText="1"/>
    </xf>
    <xf numFmtId="0" fontId="53" fillId="0" borderId="17" xfId="2" applyFont="1" applyBorder="1" applyAlignment="1">
      <alignment horizontal="center" vertical="center" wrapText="1"/>
    </xf>
    <xf numFmtId="0" fontId="53" fillId="0" borderId="60" xfId="2" applyFont="1" applyBorder="1" applyAlignment="1">
      <alignment horizontal="center" vertical="center" wrapText="1"/>
    </xf>
    <xf numFmtId="0" fontId="53" fillId="0" borderId="56" xfId="2" applyFont="1" applyBorder="1" applyAlignment="1">
      <alignment horizontal="center" vertical="center" wrapText="1"/>
    </xf>
    <xf numFmtId="4" fontId="44" fillId="3" borderId="41" xfId="2" applyNumberFormat="1" applyFont="1" applyFill="1" applyBorder="1" applyAlignment="1">
      <alignment horizontal="center" wrapText="1"/>
    </xf>
    <xf numFmtId="4" fontId="44" fillId="3" borderId="15" xfId="2" applyNumberFormat="1" applyFont="1" applyFill="1" applyBorder="1" applyAlignment="1">
      <alignment horizontal="center" wrapText="1"/>
    </xf>
    <xf numFmtId="4" fontId="44" fillId="3" borderId="72" xfId="2" applyNumberFormat="1" applyFont="1" applyFill="1" applyBorder="1" applyAlignment="1">
      <alignment horizontal="center" wrapText="1"/>
    </xf>
    <xf numFmtId="0" fontId="18" fillId="0" borderId="4" xfId="2" applyFont="1" applyBorder="1" applyAlignment="1" applyProtection="1">
      <alignment horizontal="center" vertical="center"/>
      <protection locked="0"/>
    </xf>
    <xf numFmtId="0" fontId="52" fillId="0" borderId="68" xfId="2" applyFont="1" applyBorder="1" applyAlignment="1">
      <alignment horizontal="center" vertical="center" wrapText="1"/>
    </xf>
    <xf numFmtId="0" fontId="52" fillId="0" borderId="55" xfId="2" applyFont="1" applyBorder="1" applyAlignment="1">
      <alignment horizontal="center" vertical="center" wrapText="1"/>
    </xf>
    <xf numFmtId="0" fontId="52" fillId="0" borderId="57" xfId="2" applyFont="1" applyBorder="1" applyAlignment="1">
      <alignment horizontal="center" vertical="center" wrapText="1"/>
    </xf>
    <xf numFmtId="0" fontId="52" fillId="0" borderId="53" xfId="2" applyFont="1" applyBorder="1" applyAlignment="1">
      <alignment horizontal="center" vertical="center" wrapText="1"/>
    </xf>
    <xf numFmtId="0" fontId="52" fillId="0" borderId="52" xfId="2" applyFont="1" applyBorder="1" applyAlignment="1">
      <alignment horizontal="center" vertical="center" wrapText="1"/>
    </xf>
    <xf numFmtId="0" fontId="52" fillId="0" borderId="70" xfId="2" applyFont="1" applyBorder="1" applyAlignment="1">
      <alignment horizontal="center" vertical="center" wrapText="1"/>
    </xf>
    <xf numFmtId="0" fontId="53" fillId="3" borderId="60" xfId="2" applyFont="1" applyFill="1" applyBorder="1" applyAlignment="1">
      <alignment horizontal="center" vertical="center" wrapText="1"/>
    </xf>
    <xf numFmtId="0" fontId="53" fillId="3" borderId="56" xfId="2" applyFont="1" applyFill="1" applyBorder="1" applyAlignment="1">
      <alignment horizontal="center" vertical="center" wrapText="1"/>
    </xf>
    <xf numFmtId="0" fontId="40" fillId="0" borderId="0" xfId="2" applyFont="1" applyAlignment="1">
      <alignment horizontal="center" vertical="center" wrapText="1"/>
    </xf>
    <xf numFmtId="0" fontId="18" fillId="3" borderId="31" xfId="2" applyFont="1" applyFill="1" applyBorder="1" applyAlignment="1">
      <alignment horizontal="center" wrapText="1"/>
    </xf>
    <xf numFmtId="0" fontId="18" fillId="3" borderId="42" xfId="2" applyFont="1" applyFill="1" applyBorder="1" applyAlignment="1">
      <alignment horizontal="center" wrapText="1"/>
    </xf>
    <xf numFmtId="0" fontId="54" fillId="0" borderId="0" xfId="2" applyFont="1" applyAlignment="1">
      <alignment horizontal="center" vertical="center" wrapText="1"/>
    </xf>
    <xf numFmtId="0" fontId="18" fillId="12" borderId="31" xfId="2" applyFont="1" applyFill="1" applyBorder="1" applyAlignment="1">
      <alignment horizontal="center" wrapText="1"/>
    </xf>
    <xf numFmtId="0" fontId="18" fillId="12" borderId="42" xfId="2" applyFont="1" applyFill="1" applyBorder="1" applyAlignment="1">
      <alignment horizontal="center" wrapText="1"/>
    </xf>
    <xf numFmtId="0" fontId="17" fillId="4" borderId="13" xfId="2" applyFont="1" applyFill="1" applyBorder="1" applyAlignment="1">
      <alignment horizontal="center" vertical="center" wrapText="1"/>
    </xf>
    <xf numFmtId="0" fontId="55" fillId="0" borderId="0" xfId="2" applyFont="1" applyAlignment="1">
      <alignment horizontal="center" vertical="center" textRotation="90" wrapText="1"/>
    </xf>
    <xf numFmtId="4" fontId="44" fillId="3" borderId="48" xfId="2" applyNumberFormat="1" applyFont="1" applyFill="1" applyBorder="1" applyAlignment="1">
      <alignment horizontal="center" wrapText="1"/>
    </xf>
    <xf numFmtId="4" fontId="44" fillId="3" borderId="47" xfId="2" applyNumberFormat="1" applyFont="1" applyFill="1" applyBorder="1" applyAlignment="1">
      <alignment horizontal="center" wrapText="1"/>
    </xf>
    <xf numFmtId="4" fontId="44" fillId="3" borderId="59" xfId="2" applyNumberFormat="1" applyFont="1" applyFill="1" applyBorder="1" applyAlignment="1">
      <alignment horizontal="center" wrapText="1"/>
    </xf>
    <xf numFmtId="0" fontId="18" fillId="0" borderId="31" xfId="2" applyFont="1" applyBorder="1" applyAlignment="1">
      <alignment horizontal="center" vertical="center" wrapText="1"/>
    </xf>
    <xf numFmtId="0" fontId="18" fillId="0" borderId="44" xfId="2" applyFont="1" applyBorder="1" applyAlignment="1">
      <alignment horizontal="center" vertical="center" wrapText="1"/>
    </xf>
    <xf numFmtId="0" fontId="18" fillId="0" borderId="42" xfId="2" applyFont="1" applyBorder="1" applyAlignment="1">
      <alignment horizontal="center" vertical="center" wrapText="1"/>
    </xf>
    <xf numFmtId="0" fontId="18" fillId="6" borderId="31" xfId="2" applyFont="1" applyFill="1" applyBorder="1" applyAlignment="1">
      <alignment wrapText="1"/>
    </xf>
    <xf numFmtId="0" fontId="18" fillId="6" borderId="42" xfId="2" applyFont="1" applyFill="1" applyBorder="1" applyAlignment="1">
      <alignment wrapText="1"/>
    </xf>
    <xf numFmtId="0" fontId="18" fillId="15" borderId="31" xfId="2" applyFont="1" applyFill="1" applyBorder="1" applyAlignment="1">
      <alignment wrapText="1"/>
    </xf>
    <xf numFmtId="0" fontId="18" fillId="15" borderId="44" xfId="2" applyFont="1" applyFill="1" applyBorder="1" applyAlignment="1">
      <alignment wrapText="1"/>
    </xf>
    <xf numFmtId="0" fontId="18" fillId="15" borderId="42" xfId="2" applyFont="1" applyFill="1" applyBorder="1" applyAlignment="1">
      <alignment wrapText="1"/>
    </xf>
    <xf numFmtId="0" fontId="20" fillId="4" borderId="0" xfId="2" applyFont="1" applyFill="1" applyAlignment="1">
      <alignment horizontal="center"/>
    </xf>
    <xf numFmtId="0" fontId="51" fillId="0" borderId="0" xfId="0" applyFont="1" applyAlignment="1">
      <alignment horizontal="center" vertical="center" wrapText="1"/>
    </xf>
    <xf numFmtId="0" fontId="60" fillId="0" borderId="0" xfId="0" applyFont="1" applyAlignment="1">
      <alignment horizontal="left" wrapText="1"/>
    </xf>
    <xf numFmtId="0" fontId="68" fillId="0" borderId="0" xfId="3" applyNumberFormat="1" applyFont="1"/>
    <xf numFmtId="0" fontId="18" fillId="0" borderId="4" xfId="4" applyFont="1" applyBorder="1" applyAlignment="1">
      <alignment horizontal="center"/>
    </xf>
    <xf numFmtId="173" fontId="18" fillId="0" borderId="4" xfId="0" applyNumberFormat="1" applyFont="1" applyBorder="1" applyAlignment="1">
      <alignment horizontal="center"/>
    </xf>
    <xf numFmtId="0" fontId="17" fillId="0" borderId="31" xfId="4" applyBorder="1"/>
    <xf numFmtId="0" fontId="0" fillId="0" borderId="42" xfId="0" applyBorder="1"/>
    <xf numFmtId="0" fontId="19" fillId="0" borderId="15" xfId="0" applyFont="1" applyBorder="1" applyAlignment="1">
      <alignment horizontal="center" wrapText="1"/>
    </xf>
    <xf numFmtId="14" fontId="23" fillId="0" borderId="0" xfId="0" applyNumberFormat="1" applyFont="1"/>
    <xf numFmtId="14" fontId="92" fillId="0" borderId="45" xfId="1" applyNumberFormat="1" applyFont="1" applyFill="1" applyBorder="1" applyAlignment="1" applyProtection="1">
      <alignment horizontal="center" vertical="center"/>
      <protection locked="0"/>
    </xf>
    <xf numFmtId="4" fontId="0" fillId="0" borderId="31" xfId="7" applyNumberFormat="1" applyFont="1" applyFill="1" applyBorder="1" applyAlignment="1" applyProtection="1">
      <alignment horizontal="center" wrapText="1"/>
    </xf>
    <xf numFmtId="0" fontId="26" fillId="6" borderId="45" xfId="0" applyFont="1" applyFill="1" applyBorder="1" applyAlignment="1">
      <alignment horizontal="left" wrapText="1"/>
    </xf>
    <xf numFmtId="14" fontId="17" fillId="0" borderId="0" xfId="2" applyNumberFormat="1" applyFont="1" applyAlignment="1" applyProtection="1">
      <protection locked="0"/>
    </xf>
    <xf numFmtId="0" fontId="93" fillId="0" borderId="4" xfId="7" applyFont="1" applyBorder="1" applyAlignment="1" applyProtection="1">
      <alignment wrapText="1"/>
    </xf>
    <xf numFmtId="4" fontId="93" fillId="4" borderId="31" xfId="7" applyNumberFormat="1" applyFont="1" applyFill="1" applyBorder="1" applyAlignment="1" applyProtection="1">
      <alignment wrapText="1"/>
      <protection locked="0"/>
    </xf>
    <xf numFmtId="4" fontId="93" fillId="0" borderId="31" xfId="7" applyNumberFormat="1" applyFont="1" applyFill="1" applyBorder="1" applyAlignment="1" applyProtection="1">
      <alignment horizontal="center" wrapText="1"/>
    </xf>
    <xf numFmtId="0" fontId="94" fillId="6" borderId="40" xfId="0" applyFont="1" applyFill="1" applyBorder="1" applyAlignment="1">
      <alignment horizontal="left" wrapText="1"/>
    </xf>
    <xf numFmtId="0" fontId="94" fillId="6" borderId="4" xfId="0" applyFont="1" applyFill="1" applyBorder="1" applyAlignment="1">
      <alignment horizontal="left" wrapText="1"/>
    </xf>
    <xf numFmtId="4" fontId="94" fillId="0" borderId="4" xfId="1" applyNumberFormat="1" applyFont="1" applyFill="1" applyBorder="1" applyAlignment="1" applyProtection="1">
      <alignment horizontal="center" vertical="center"/>
      <protection locked="0"/>
    </xf>
    <xf numFmtId="0" fontId="95" fillId="6" borderId="4" xfId="0" applyFont="1" applyFill="1" applyBorder="1" applyAlignment="1">
      <alignment horizontal="center"/>
    </xf>
    <xf numFmtId="1" fontId="94" fillId="6" borderId="4" xfId="0" applyNumberFormat="1" applyFont="1" applyFill="1" applyBorder="1" applyAlignment="1">
      <alignment horizontal="center" vertical="center"/>
    </xf>
    <xf numFmtId="12" fontId="94" fillId="6" borderId="4" xfId="0" applyNumberFormat="1" applyFont="1" applyFill="1" applyBorder="1" applyAlignment="1">
      <alignment horizontal="center" vertical="center"/>
    </xf>
    <xf numFmtId="166" fontId="94" fillId="6" borderId="4" xfId="0" applyNumberFormat="1" applyFont="1" applyFill="1" applyBorder="1" applyAlignment="1">
      <alignment horizontal="center" vertical="center"/>
    </xf>
    <xf numFmtId="164" fontId="95" fillId="6" borderId="24" xfId="0" applyNumberFormat="1" applyFont="1" applyFill="1" applyBorder="1" applyAlignment="1">
      <alignment horizontal="center" vertical="center"/>
    </xf>
    <xf numFmtId="0" fontId="97" fillId="2" borderId="0" xfId="0" applyFont="1" applyFill="1"/>
    <xf numFmtId="0" fontId="98" fillId="0" borderId="4" xfId="7" applyFont="1" applyBorder="1" applyAlignment="1" applyProtection="1">
      <alignment wrapText="1"/>
    </xf>
    <xf numFmtId="169" fontId="98" fillId="0" borderId="31" xfId="7" applyNumberFormat="1" applyFont="1" applyBorder="1" applyAlignment="1" applyProtection="1">
      <alignment wrapText="1"/>
    </xf>
    <xf numFmtId="4" fontId="93" fillId="0" borderId="4" xfId="7" applyNumberFormat="1" applyFont="1" applyFill="1" applyBorder="1" applyAlignment="1" applyProtection="1">
      <alignment horizontal="center" wrapText="1"/>
    </xf>
    <xf numFmtId="0" fontId="94" fillId="6" borderId="42" xfId="0" applyFont="1" applyFill="1" applyBorder="1" applyAlignment="1">
      <alignment horizontal="left" wrapText="1"/>
    </xf>
    <xf numFmtId="3" fontId="94" fillId="0" borderId="4" xfId="1" applyNumberFormat="1" applyFont="1" applyFill="1" applyBorder="1" applyAlignment="1" applyProtection="1">
      <alignment horizontal="center" vertical="center"/>
      <protection locked="0"/>
    </xf>
    <xf numFmtId="0" fontId="94" fillId="6" borderId="4" xfId="0" applyFont="1" applyFill="1" applyBorder="1" applyAlignment="1">
      <alignment horizontal="center" vertical="center"/>
    </xf>
    <xf numFmtId="0" fontId="94" fillId="2" borderId="0" xfId="0" applyFont="1" applyFill="1" applyBorder="1" applyAlignment="1">
      <alignment vertical="center"/>
    </xf>
    <xf numFmtId="1" fontId="97" fillId="2" borderId="0" xfId="0" applyNumberFormat="1" applyFont="1" applyFill="1" applyAlignment="1">
      <alignment horizontal="left"/>
    </xf>
    <xf numFmtId="4" fontId="99" fillId="2" borderId="0" xfId="0" applyNumberFormat="1" applyFont="1" applyFill="1" applyAlignment="1">
      <alignment horizontal="right" vertical="center"/>
    </xf>
    <xf numFmtId="0" fontId="97" fillId="2" borderId="0" xfId="0" applyFont="1" applyFill="1" applyBorder="1" applyAlignment="1">
      <alignment wrapText="1"/>
    </xf>
    <xf numFmtId="0" fontId="94" fillId="6" borderId="46" xfId="0" applyFont="1" applyFill="1" applyBorder="1" applyAlignment="1">
      <alignment horizontal="left" wrapText="1"/>
    </xf>
    <xf numFmtId="0" fontId="94" fillId="6" borderId="2" xfId="0" applyFont="1" applyFill="1" applyBorder="1" applyAlignment="1">
      <alignment horizontal="left" wrapText="1"/>
    </xf>
    <xf numFmtId="3" fontId="94" fillId="0" borderId="2" xfId="1" applyNumberFormat="1" applyFont="1" applyFill="1" applyBorder="1" applyAlignment="1" applyProtection="1">
      <alignment horizontal="center" vertical="center"/>
      <protection locked="0"/>
    </xf>
    <xf numFmtId="0" fontId="95" fillId="6" borderId="2" xfId="0" applyFont="1" applyFill="1" applyBorder="1" applyAlignment="1">
      <alignment horizontal="center"/>
    </xf>
    <xf numFmtId="1" fontId="94" fillId="6" borderId="2" xfId="0" applyNumberFormat="1" applyFont="1" applyFill="1" applyBorder="1" applyAlignment="1">
      <alignment horizontal="center" vertical="center"/>
    </xf>
    <xf numFmtId="0" fontId="94" fillId="6" borderId="2" xfId="0" applyFont="1" applyFill="1" applyBorder="1" applyAlignment="1">
      <alignment horizontal="center" vertical="center"/>
    </xf>
    <xf numFmtId="166" fontId="94" fillId="6" borderId="2" xfId="0" applyNumberFormat="1" applyFont="1" applyFill="1" applyBorder="1" applyAlignment="1">
      <alignment horizontal="center" vertical="center"/>
    </xf>
    <xf numFmtId="164" fontId="95" fillId="6" borderId="3" xfId="0" applyNumberFormat="1" applyFont="1" applyFill="1" applyBorder="1" applyAlignment="1">
      <alignment horizontal="center" vertical="center"/>
    </xf>
    <xf numFmtId="0" fontId="26" fillId="6" borderId="29" xfId="0" applyFont="1" applyFill="1" applyBorder="1" applyAlignment="1">
      <alignment horizontal="left" wrapText="1"/>
    </xf>
    <xf numFmtId="4" fontId="26" fillId="0" borderId="7" xfId="1" applyNumberFormat="1" applyFont="1" applyFill="1" applyBorder="1" applyAlignment="1" applyProtection="1">
      <alignment horizontal="center" vertical="center"/>
      <protection locked="0"/>
    </xf>
    <xf numFmtId="0" fontId="94" fillId="6" borderId="16" xfId="0" applyFont="1" applyFill="1" applyBorder="1" applyAlignment="1">
      <alignment horizontal="left" wrapText="1"/>
    </xf>
    <xf numFmtId="0" fontId="94" fillId="6" borderId="9" xfId="0" applyFont="1" applyFill="1" applyBorder="1" applyAlignment="1">
      <alignment horizontal="left" wrapText="1"/>
    </xf>
    <xf numFmtId="3" fontId="94" fillId="0" borderId="9" xfId="1" applyNumberFormat="1" applyFont="1" applyFill="1" applyBorder="1" applyAlignment="1" applyProtection="1">
      <alignment horizontal="center" vertical="center"/>
      <protection locked="0"/>
    </xf>
    <xf numFmtId="0" fontId="95" fillId="6" borderId="9" xfId="0" applyFont="1" applyFill="1" applyBorder="1" applyAlignment="1">
      <alignment horizontal="center"/>
    </xf>
    <xf numFmtId="1" fontId="94" fillId="6" borderId="9" xfId="0" applyNumberFormat="1" applyFont="1" applyFill="1" applyBorder="1" applyAlignment="1">
      <alignment horizontal="center" vertical="center"/>
    </xf>
    <xf numFmtId="0" fontId="94" fillId="6" borderId="9" xfId="0" applyFont="1" applyFill="1" applyBorder="1" applyAlignment="1">
      <alignment horizontal="center" vertical="center"/>
    </xf>
    <xf numFmtId="166" fontId="94" fillId="6" borderId="9" xfId="0" applyNumberFormat="1" applyFont="1" applyFill="1" applyBorder="1" applyAlignment="1">
      <alignment horizontal="center" vertical="center"/>
    </xf>
    <xf numFmtId="164" fontId="95" fillId="6" borderId="20" xfId="0" applyNumberFormat="1" applyFont="1" applyFill="1" applyBorder="1" applyAlignment="1">
      <alignment horizontal="center" vertical="center"/>
    </xf>
  </cellXfs>
  <cellStyles count="9">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2 3" xfId="8" xr:uid="{31080E45-6956-4350-9471-1410A591C3DE}"/>
    <cellStyle name="Normální 3" xfId="6" xr:uid="{C7E13067-21A4-4732-9F93-DF3E0745AA15}"/>
    <cellStyle name="normální 4 2" xfId="4" xr:uid="{00000000-0005-0000-0000-000004000000}"/>
    <cellStyle name="Procenta" xfId="5" builtinId="5"/>
  </cellStyles>
  <dxfs count="15">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ont>
        <color auto="1"/>
      </font>
      <fill>
        <patternFill>
          <bgColor theme="2"/>
        </patternFill>
      </fill>
    </dxf>
    <dxf>
      <font>
        <condense val="0"/>
        <extend val="0"/>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Drop" dropLines="31" dropStyle="combo" dx="26" fmlaLink="'ovládací prvky'!$E$49" fmlaRange="'ovládací prvky'!$B$34:$B$64" sel="31" val="0"/>
</file>

<file path=xl/ctrlProps/ctrlProp11.xml><?xml version="1.0" encoding="utf-8"?>
<formControlPr xmlns="http://schemas.microsoft.com/office/spreadsheetml/2009/9/main" objectType="Drop" dropLines="2" dropStyle="combo" dx="26" fmlaLink="'ovládací prvky'!$K$6" fmlaRange="'ovládací prvky'!$K$7:$K$8" sel="2" val="0"/>
</file>

<file path=xl/ctrlProps/ctrlProp2.xml><?xml version="1.0" encoding="utf-8"?>
<formControlPr xmlns="http://schemas.microsoft.com/office/spreadsheetml/2009/9/main" objectType="Radio" checked="Checked" firstButton="1" fmlaLink="'ovládací prvky'!$C$28"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2" dropStyle="combo" dx="26" fmlaLink="'ovládací prvky'!$F$13" fmlaRange="'ovládací prvky'!$C$14:$C$25" sel="1" val="0"/>
</file>

<file path=xl/ctrlProps/ctrlProp5.xml><?xml version="1.0" encoding="utf-8"?>
<formControlPr xmlns="http://schemas.microsoft.com/office/spreadsheetml/2009/9/main" objectType="Drop" dropLines="2" dropStyle="combo" dx="26" fmlaLink="'ovládací prvky'!$J$2" fmlaRange="'ovládací prvky'!$L$2:$L$3" sel="1" val="0"/>
</file>

<file path=xl/ctrlProps/ctrlProp6.xml><?xml version="1.0" encoding="utf-8"?>
<formControlPr xmlns="http://schemas.microsoft.com/office/spreadsheetml/2009/9/main" objectType="Drop" dropLines="6" dropStyle="combo" dx="26" fmlaLink="'ovládací prvky'!$N$13" fmlaRange="'ovládací prvky'!$M$14:$M$19" sel="1" val="0"/>
</file>

<file path=xl/ctrlProps/ctrlProp7.xml><?xml version="1.0" encoding="utf-8"?>
<formControlPr xmlns="http://schemas.microsoft.com/office/spreadsheetml/2009/9/main" objectType="Drop" dropLines="2" dropStyle="combo" dx="26" fmlaLink="'ovládací prvky'!$H$2" fmlaRange="'ovládací prvky'!$G$3:$G$4" sel="1" val="0"/>
</file>

<file path=xl/ctrlProps/ctrlProp8.xml><?xml version="1.0" encoding="utf-8"?>
<formControlPr xmlns="http://schemas.microsoft.com/office/spreadsheetml/2009/9/main" objectType="Drop" dropLines="5" dropStyle="combo" dx="26" fmlaLink="'ovládací prvky'!$C$6" fmlaRange="'ovládací prvky'!$B$7:$B$11" sel="1" val="0"/>
</file>

<file path=xl/ctrlProps/ctrlProp9.xml><?xml version="1.0" encoding="utf-8"?>
<formControlPr xmlns="http://schemas.microsoft.com/office/spreadsheetml/2009/9/main" objectType="Drop" dropLines="31" dropStyle="combo" dx="26" fmlaLink="'ovládací prvky'!$D$49" fmlaRange="'ovládací prvky'!$B$34:$B$64"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678180</xdr:colOff>
          <xdr:row>60</xdr:row>
          <xdr:rowOff>45720</xdr:rowOff>
        </xdr:from>
        <xdr:to>
          <xdr:col>9</xdr:col>
          <xdr:colOff>22859</xdr:colOff>
          <xdr:row>63</xdr:row>
          <xdr:rowOff>137160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xdr:row>
          <xdr:rowOff>99060</xdr:rowOff>
        </xdr:from>
        <xdr:to>
          <xdr:col>8</xdr:col>
          <xdr:colOff>563880</xdr:colOff>
          <xdr:row>61</xdr:row>
          <xdr:rowOff>160020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61</xdr:row>
          <xdr:rowOff>152400</xdr:rowOff>
        </xdr:from>
        <xdr:to>
          <xdr:col>8</xdr:col>
          <xdr:colOff>579120</xdr:colOff>
          <xdr:row>63</xdr:row>
          <xdr:rowOff>22860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2</xdr:row>
          <xdr:rowOff>60960</xdr:rowOff>
        </xdr:from>
        <xdr:to>
          <xdr:col>4</xdr:col>
          <xdr:colOff>838200</xdr:colOff>
          <xdr:row>3</xdr:row>
          <xdr:rowOff>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8</xdr:row>
          <xdr:rowOff>45720</xdr:rowOff>
        </xdr:from>
        <xdr:to>
          <xdr:col>4</xdr:col>
          <xdr:colOff>838200</xdr:colOff>
          <xdr:row>8</xdr:row>
          <xdr:rowOff>251460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8</xdr:row>
          <xdr:rowOff>76200</xdr:rowOff>
        </xdr:from>
        <xdr:to>
          <xdr:col>10</xdr:col>
          <xdr:colOff>563881</xdr:colOff>
          <xdr:row>9</xdr:row>
          <xdr:rowOff>7620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10</xdr:row>
          <xdr:rowOff>38100</xdr:rowOff>
        </xdr:from>
        <xdr:to>
          <xdr:col>4</xdr:col>
          <xdr:colOff>838200</xdr:colOff>
          <xdr:row>10</xdr:row>
          <xdr:rowOff>243840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45720</xdr:rowOff>
        </xdr:from>
        <xdr:to>
          <xdr:col>10</xdr:col>
          <xdr:colOff>563881</xdr:colOff>
          <xdr:row>2</xdr:row>
          <xdr:rowOff>251460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4</xdr:row>
          <xdr:rowOff>45720</xdr:rowOff>
        </xdr:from>
        <xdr:to>
          <xdr:col>4</xdr:col>
          <xdr:colOff>838200</xdr:colOff>
          <xdr:row>4</xdr:row>
          <xdr:rowOff>251460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6</xdr:row>
          <xdr:rowOff>45720</xdr:rowOff>
        </xdr:from>
        <xdr:to>
          <xdr:col>4</xdr:col>
          <xdr:colOff>838200</xdr:colOff>
          <xdr:row>6</xdr:row>
          <xdr:rowOff>251460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xdr:row>
          <xdr:rowOff>129540</xdr:rowOff>
        </xdr:from>
        <xdr:to>
          <xdr:col>10</xdr:col>
          <xdr:colOff>556260</xdr:colOff>
          <xdr:row>5</xdr:row>
          <xdr:rowOff>60960</xdr:rowOff>
        </xdr:to>
        <xdr:sp macro="" textlink="">
          <xdr:nvSpPr>
            <xdr:cNvPr id="6215" name="Nadlimit_tlac2"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5DCA-AF21-4F52-8F00-2055A93A2AFD}">
  <sheetPr codeName="List1">
    <tabColor rgb="FFFFFF00"/>
  </sheetPr>
  <dimension ref="A1:C10"/>
  <sheetViews>
    <sheetView workbookViewId="0">
      <selection activeCell="B14" sqref="B14"/>
    </sheetView>
  </sheetViews>
  <sheetFormatPr defaultRowHeight="14.4" x14ac:dyDescent="0.3"/>
  <cols>
    <col min="2" max="2" width="106.6640625" style="225" customWidth="1"/>
  </cols>
  <sheetData>
    <row r="1" spans="1:3" ht="40.200000000000003" x14ac:dyDescent="0.3">
      <c r="A1">
        <v>1</v>
      </c>
      <c r="B1" s="431" t="s">
        <v>357</v>
      </c>
      <c r="C1" s="3"/>
    </row>
    <row r="2" spans="1:3" x14ac:dyDescent="0.3">
      <c r="A2" s="3">
        <v>2</v>
      </c>
      <c r="B2" s="431" t="s">
        <v>338</v>
      </c>
    </row>
    <row r="3" spans="1:3" x14ac:dyDescent="0.3">
      <c r="A3" s="3">
        <v>3</v>
      </c>
      <c r="B3" s="431" t="s">
        <v>351</v>
      </c>
    </row>
    <row r="4" spans="1:3" x14ac:dyDescent="0.3">
      <c r="A4" s="3">
        <v>4</v>
      </c>
      <c r="B4" s="431" t="s">
        <v>352</v>
      </c>
      <c r="C4" s="420"/>
    </row>
    <row r="5" spans="1:3" x14ac:dyDescent="0.3">
      <c r="A5" s="3">
        <v>5</v>
      </c>
      <c r="B5" s="431" t="s">
        <v>358</v>
      </c>
      <c r="C5" s="420"/>
    </row>
    <row r="6" spans="1:3" x14ac:dyDescent="0.3">
      <c r="A6" s="3">
        <v>6</v>
      </c>
      <c r="B6" s="431" t="s">
        <v>389</v>
      </c>
      <c r="C6" s="420"/>
    </row>
    <row r="7" spans="1:3" x14ac:dyDescent="0.3">
      <c r="A7" s="3"/>
      <c r="B7" s="421"/>
      <c r="C7" s="420"/>
    </row>
    <row r="8" spans="1:3" x14ac:dyDescent="0.3">
      <c r="A8" s="3"/>
      <c r="B8" s="432" t="s">
        <v>359</v>
      </c>
    </row>
    <row r="9" spans="1:3" x14ac:dyDescent="0.3">
      <c r="A9" s="3"/>
    </row>
    <row r="10" spans="1:3" x14ac:dyDescent="0.3">
      <c r="B10" s="592" t="s">
        <v>401</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T75"/>
  <sheetViews>
    <sheetView topLeftCell="D1" zoomScale="70" zoomScaleNormal="70" workbookViewId="0">
      <pane xSplit="2" ySplit="11" topLeftCell="F12" activePane="bottomRight" state="frozen"/>
      <selection activeCell="D1" sqref="D1"/>
      <selection pane="topRight" activeCell="F1" sqref="F1"/>
      <selection pane="bottomLeft" activeCell="D12" sqref="D12"/>
      <selection pane="bottomRight" activeCell="F58" sqref="F58"/>
    </sheetView>
  </sheetViews>
  <sheetFormatPr defaultColWidth="0" defaultRowHeight="13.8" x14ac:dyDescent="0.25"/>
  <cols>
    <col min="1" max="1" width="11.109375" style="7" hidden="1" customWidth="1"/>
    <col min="2" max="2" width="20" style="7" hidden="1" customWidth="1"/>
    <col min="3" max="3" width="16.21875" style="546" hidden="1" customWidth="1"/>
    <col min="4" max="4" width="43.109375" style="5" customWidth="1"/>
    <col min="5" max="5" width="37.6640625" style="5" customWidth="1"/>
    <col min="6" max="6" width="14.6640625" style="5" customWidth="1"/>
    <col min="7" max="7" width="10" style="5" customWidth="1"/>
    <col min="8" max="8" width="11.44140625" style="5" customWidth="1"/>
    <col min="9" max="9" width="11.6640625" style="5" customWidth="1"/>
    <col min="10" max="10" width="18.6640625" style="5" bestFit="1" customWidth="1"/>
    <col min="11" max="11" width="20.44140625" style="5" customWidth="1"/>
    <col min="12" max="12" width="16" style="9" customWidth="1"/>
    <col min="13" max="13" width="19.44140625" style="5" customWidth="1"/>
    <col min="14" max="14" width="35.33203125" style="5" customWidth="1"/>
    <col min="15" max="15" width="15.33203125" style="5" hidden="1" customWidth="1"/>
    <col min="16" max="16" width="26.88671875" style="5" hidden="1" customWidth="1"/>
    <col min="17" max="17" width="14.88671875" style="5" hidden="1" customWidth="1"/>
    <col min="18" max="20" width="9.109375" style="5" hidden="1" customWidth="1"/>
    <col min="21" max="16384" width="8.88671875" style="7" hidden="1"/>
  </cols>
  <sheetData>
    <row r="1" spans="1:20" s="413" customFormat="1" ht="21" x14ac:dyDescent="0.4">
      <c r="C1" s="543"/>
      <c r="D1" s="499" t="s">
        <v>419</v>
      </c>
      <c r="E1" s="410"/>
      <c r="F1" s="40"/>
      <c r="G1" s="411"/>
      <c r="H1" s="40"/>
      <c r="I1" s="40"/>
      <c r="J1" s="40"/>
      <c r="K1" s="40"/>
      <c r="L1" s="412"/>
      <c r="M1" s="40"/>
      <c r="N1" s="517" t="s">
        <v>48</v>
      </c>
      <c r="O1" s="40"/>
      <c r="P1" s="40"/>
      <c r="Q1" s="40"/>
      <c r="R1" s="40"/>
      <c r="S1" s="40"/>
      <c r="T1" s="40"/>
    </row>
    <row r="2" spans="1:20" s="413" customFormat="1" ht="18.75" customHeight="1" x14ac:dyDescent="0.4">
      <c r="C2" s="543"/>
      <c r="D2" s="414"/>
      <c r="E2" s="414"/>
      <c r="F2" s="415">
        <v>2022</v>
      </c>
      <c r="G2" s="40"/>
      <c r="H2" s="40"/>
      <c r="I2" s="40"/>
      <c r="J2" s="40"/>
      <c r="K2" s="40"/>
      <c r="L2" s="40"/>
      <c r="M2" s="534"/>
      <c r="O2" s="40"/>
      <c r="P2" s="40"/>
      <c r="Q2" s="40"/>
      <c r="R2" s="40"/>
      <c r="S2" s="40"/>
      <c r="T2" s="40"/>
    </row>
    <row r="3" spans="1:20" s="413" customFormat="1" ht="21" x14ac:dyDescent="0.4">
      <c r="B3" s="549"/>
      <c r="C3" s="549"/>
      <c r="D3" s="416" t="s">
        <v>23</v>
      </c>
      <c r="E3" s="602"/>
      <c r="F3" s="505" t="s">
        <v>361</v>
      </c>
      <c r="G3" s="414"/>
      <c r="H3" s="40"/>
      <c r="I3" s="40"/>
      <c r="J3" s="40"/>
      <c r="K3" s="40"/>
      <c r="L3" s="40"/>
      <c r="M3" s="40"/>
      <c r="N3" s="40"/>
      <c r="O3" s="40"/>
      <c r="P3" s="40"/>
      <c r="Q3" s="40"/>
      <c r="R3" s="40"/>
      <c r="S3" s="40"/>
      <c r="T3" s="40"/>
    </row>
    <row r="4" spans="1:20" s="413" customFormat="1" ht="5.4" customHeight="1" x14ac:dyDescent="0.25">
      <c r="D4" s="416"/>
      <c r="E4" s="602"/>
      <c r="F4" s="416"/>
      <c r="G4" s="416"/>
      <c r="H4" s="40"/>
      <c r="I4" s="40"/>
      <c r="J4" s="40"/>
      <c r="K4" s="40"/>
      <c r="L4" s="40"/>
      <c r="M4" s="40"/>
      <c r="N4" s="40"/>
      <c r="O4" s="40"/>
      <c r="P4" s="40"/>
      <c r="Q4" s="40"/>
      <c r="R4" s="40"/>
      <c r="S4" s="40"/>
      <c r="T4" s="40"/>
    </row>
    <row r="5" spans="1:20" s="413" customFormat="1" ht="21" customHeight="1" x14ac:dyDescent="0.25">
      <c r="B5" s="551" t="s">
        <v>117</v>
      </c>
      <c r="C5" s="550" t="str">
        <f>'Klasik, CNG, M3R, výrobce'!F34</f>
        <v/>
      </c>
      <c r="D5" s="416" t="s">
        <v>372</v>
      </c>
      <c r="E5" s="603"/>
      <c r="F5" s="616" t="s">
        <v>338</v>
      </c>
      <c r="G5" s="616"/>
      <c r="H5" s="616"/>
      <c r="I5" s="616"/>
      <c r="J5" s="40"/>
      <c r="K5" s="40"/>
      <c r="L5" s="40"/>
      <c r="M5" s="40"/>
      <c r="N5" s="40"/>
      <c r="O5" s="40"/>
      <c r="P5" s="40"/>
      <c r="Q5" s="40"/>
      <c r="R5" s="40"/>
      <c r="S5" s="40"/>
    </row>
    <row r="6" spans="1:20" s="413" customFormat="1" ht="7.2" customHeight="1" x14ac:dyDescent="0.25">
      <c r="C6" s="543"/>
      <c r="D6" s="416"/>
      <c r="E6" s="603"/>
      <c r="F6" s="616"/>
      <c r="G6" s="616"/>
      <c r="H6" s="616"/>
      <c r="I6" s="616"/>
      <c r="J6" s="40"/>
      <c r="K6" s="40"/>
      <c r="L6" s="40"/>
      <c r="M6" s="40"/>
      <c r="N6" s="40"/>
      <c r="O6" s="40"/>
      <c r="P6" s="40"/>
      <c r="Q6" s="40"/>
      <c r="R6" s="40"/>
      <c r="S6" s="40"/>
    </row>
    <row r="7" spans="1:20" s="413" customFormat="1" ht="21" customHeight="1" x14ac:dyDescent="0.25">
      <c r="C7" s="543"/>
      <c r="D7" s="416" t="s">
        <v>373</v>
      </c>
      <c r="E7" s="604" t="str">
        <f>'ovládací prvky'!F49</f>
        <v/>
      </c>
      <c r="F7" s="616"/>
      <c r="G7" s="616"/>
      <c r="H7" s="616"/>
      <c r="I7" s="616"/>
      <c r="J7" s="40"/>
      <c r="K7" s="40"/>
      <c r="L7" s="40"/>
      <c r="M7" s="40"/>
      <c r="N7" s="40"/>
      <c r="O7" s="40"/>
      <c r="P7" s="40"/>
      <c r="Q7" s="40"/>
      <c r="R7" s="40"/>
      <c r="S7" s="40"/>
    </row>
    <row r="8" spans="1:20" s="413" customFormat="1" ht="6.6" customHeight="1" x14ac:dyDescent="0.25">
      <c r="C8" s="543"/>
      <c r="D8" s="40"/>
      <c r="E8" s="605"/>
      <c r="F8" s="40"/>
      <c r="G8" s="40"/>
      <c r="H8" s="40"/>
      <c r="I8" s="40"/>
      <c r="J8" s="40"/>
      <c r="K8" s="40"/>
      <c r="L8" s="40"/>
      <c r="M8" s="40"/>
      <c r="N8" s="40"/>
      <c r="O8" s="40"/>
      <c r="P8" s="40"/>
      <c r="Q8" s="40"/>
      <c r="R8" s="40"/>
      <c r="S8" s="40"/>
      <c r="T8" s="40"/>
    </row>
    <row r="9" spans="1:20" s="413" customFormat="1" ht="21" customHeight="1" x14ac:dyDescent="0.25">
      <c r="C9" s="543"/>
      <c r="D9" s="416" t="s">
        <v>33</v>
      </c>
      <c r="E9" s="602"/>
      <c r="F9" s="616" t="s">
        <v>382</v>
      </c>
      <c r="G9" s="616"/>
      <c r="H9" s="616"/>
      <c r="I9" s="616"/>
      <c r="K9" s="617" t="str">
        <f>IF(K14="neúplné údaje","vyberte výši součtu spotřeb","")</f>
        <v/>
      </c>
      <c r="L9" s="617"/>
      <c r="M9" s="511"/>
      <c r="N9" s="511"/>
      <c r="O9" s="40"/>
      <c r="P9" s="40"/>
      <c r="Q9" s="40"/>
      <c r="R9" s="40"/>
      <c r="S9" s="40"/>
      <c r="T9" s="40"/>
    </row>
    <row r="10" spans="1:20" s="413" customFormat="1" ht="9" customHeight="1" x14ac:dyDescent="0.25">
      <c r="C10" s="543"/>
      <c r="D10" s="40"/>
      <c r="E10" s="605"/>
      <c r="F10" s="616"/>
      <c r="G10" s="616"/>
      <c r="H10" s="616"/>
      <c r="I10" s="616"/>
      <c r="J10" s="417"/>
      <c r="K10" s="40"/>
      <c r="M10" s="511"/>
      <c r="N10" s="511"/>
      <c r="O10" s="40"/>
      <c r="P10" s="40"/>
      <c r="Q10" s="40"/>
      <c r="R10" s="40"/>
      <c r="S10" s="40"/>
      <c r="T10" s="40"/>
    </row>
    <row r="11" spans="1:20" s="413" customFormat="1" ht="21" customHeight="1" x14ac:dyDescent="0.4">
      <c r="A11" s="703" t="s">
        <v>52</v>
      </c>
      <c r="B11" s="704"/>
      <c r="C11" s="537"/>
      <c r="D11" s="418" t="s">
        <v>24</v>
      </c>
      <c r="E11" s="606"/>
      <c r="F11" s="616"/>
      <c r="G11" s="616"/>
      <c r="H11" s="616"/>
      <c r="I11" s="616"/>
      <c r="J11" s="518"/>
      <c r="K11" s="40"/>
      <c r="L11" s="40"/>
      <c r="M11" s="512" t="s">
        <v>386</v>
      </c>
      <c r="N11" s="513" t="str">
        <f>'ovládací prvky'!Q13</f>
        <v>NE</v>
      </c>
      <c r="R11" s="40"/>
      <c r="S11" s="40"/>
      <c r="T11" s="40"/>
    </row>
    <row r="12" spans="1:20" s="413" customFormat="1" ht="21" customHeight="1" thickBot="1" x14ac:dyDescent="0.35">
      <c r="A12" s="535" t="s">
        <v>57</v>
      </c>
      <c r="B12" s="536"/>
      <c r="C12" s="544"/>
      <c r="D12" s="40"/>
      <c r="E12" s="40"/>
      <c r="F12" s="501"/>
      <c r="G12" s="501"/>
      <c r="J12" s="533"/>
      <c r="L12" s="419"/>
      <c r="M12" s="511"/>
      <c r="N12" s="511"/>
      <c r="R12" s="40"/>
      <c r="S12" s="40"/>
      <c r="T12" s="40"/>
    </row>
    <row r="13" spans="1:20" s="5" customFormat="1" ht="55.8" thickBot="1" x14ac:dyDescent="0.35">
      <c r="A13" s="535" t="s">
        <v>59</v>
      </c>
      <c r="B13" s="538"/>
      <c r="C13" s="545" t="s">
        <v>400</v>
      </c>
      <c r="D13" s="539"/>
      <c r="E13" s="524"/>
      <c r="F13" s="493" t="s">
        <v>19</v>
      </c>
      <c r="G13" s="493" t="s">
        <v>20</v>
      </c>
      <c r="H13" s="493" t="s">
        <v>333</v>
      </c>
      <c r="I13" s="493" t="s">
        <v>334</v>
      </c>
      <c r="J13" s="493" t="s">
        <v>21</v>
      </c>
      <c r="K13" s="525" t="s">
        <v>22</v>
      </c>
      <c r="L13" s="9"/>
      <c r="N13" s="10"/>
    </row>
    <row r="14" spans="1:20" s="5" customFormat="1" ht="20.399999999999999" customHeight="1" x14ac:dyDescent="0.3">
      <c r="A14" s="535" t="s">
        <v>61</v>
      </c>
      <c r="B14" s="538"/>
      <c r="C14" s="761"/>
      <c r="D14" s="653" t="s">
        <v>32</v>
      </c>
      <c r="E14" s="632"/>
      <c r="F14" s="359"/>
      <c r="G14" s="30" t="s">
        <v>4</v>
      </c>
      <c r="H14" s="488"/>
      <c r="I14" s="611"/>
      <c r="J14" s="440" t="str">
        <f>IF('ovládací prvky'!$C$6=4,"-",IFERROR(IF(F14=0,"",'Klasik, CNG, M3R, výrobce'!X11),"neúplné údaje"))</f>
        <v/>
      </c>
      <c r="K14" s="607" t="str">
        <f>IF('ovládací prvky'!$C$6=4,"-",IFERROR(IF(F14=0,"",'Klasik, CNG, M3R, výrobce'!Y11),"neúplné údaje"))</f>
        <v/>
      </c>
      <c r="L14" s="522" t="str">
        <f>IF('ovládací prvky'!$C$6=4,"Výrobce plynu neplatí za komoditu, platí pouze za kapacitu.","")</f>
        <v/>
      </c>
      <c r="M14" s="510"/>
      <c r="N14" s="510"/>
    </row>
    <row r="15" spans="1:20" s="5" customFormat="1" ht="20.399999999999999" customHeight="1" x14ac:dyDescent="0.3">
      <c r="A15" s="535" t="s">
        <v>67</v>
      </c>
      <c r="B15" s="538"/>
      <c r="C15" s="761" t="str">
        <f>'Klasik, CNG, M3R, výrobce'!L12</f>
        <v>do 200 000</v>
      </c>
      <c r="D15" s="664" t="s">
        <v>40</v>
      </c>
      <c r="E15" s="622"/>
      <c r="F15" s="41"/>
      <c r="G15" s="31" t="s">
        <v>25</v>
      </c>
      <c r="H15" s="487" t="str">
        <f>IF(F15=0,"",'Klasik, CNG, M3R, výrobce'!F9)</f>
        <v/>
      </c>
      <c r="I15" s="519" t="str">
        <f>IF(F15=0,"","1/12")</f>
        <v/>
      </c>
      <c r="J15" s="441" t="str">
        <f>IF(F15&gt;0,'Klasik, CNG, M3R, výrobce'!X12,"")</f>
        <v/>
      </c>
      <c r="K15" s="608" t="str">
        <f>IF(F15&gt;0,'Klasik, CNG, M3R, výrobce'!Y12,"-")</f>
        <v>-</v>
      </c>
      <c r="L15" s="523"/>
      <c r="M15" s="482"/>
      <c r="N15" s="482"/>
    </row>
    <row r="16" spans="1:20" s="5" customFormat="1" ht="20.399999999999999" customHeight="1" x14ac:dyDescent="0.3">
      <c r="A16" s="535" t="s">
        <v>71</v>
      </c>
      <c r="B16" s="538"/>
      <c r="C16" s="761" t="str">
        <f>'Klasik, CNG, M3R, výrobce'!L13</f>
        <v>do 200 000</v>
      </c>
      <c r="D16" s="664" t="s">
        <v>330</v>
      </c>
      <c r="E16" s="622"/>
      <c r="F16" s="614"/>
      <c r="G16" s="31" t="s">
        <v>25</v>
      </c>
      <c r="H16" s="487" t="str">
        <f>IF($F$15&gt;0,"",IF(F16=0,"",'Klasik, CNG, M3R, výrobce'!$F$9))</f>
        <v/>
      </c>
      <c r="I16" s="519" t="str">
        <f>IF($F$15&gt;0,"",IF(F16=0,"","1/12"))</f>
        <v/>
      </c>
      <c r="J16" s="441" t="str">
        <f>IF($F$15&gt;0,"",IF('ovládací prvky'!$C$6=4,'Klasik, CNG, M3R, výrobce'!L37,IF(F16=0,"",'Klasik, CNG, M3R, výrobce'!X13)))</f>
        <v/>
      </c>
      <c r="K16" s="608" t="str">
        <f>IF(F15&gt;0,"-",IF('ovládací prvky'!$C$6=4,'Klasik, CNG, M3R, výrobce'!M37,IF(F16=0,"-",'Klasik, CNG, M3R, výrobce'!Y13)))</f>
        <v>-</v>
      </c>
      <c r="L16" s="618" t="str">
        <f>IF(AND('ovládací prvky'!$C$6=3,'Výpočet ceny distribuce'!E46&gt;'Výpočet ceny distribuce'!F16),'ovládací prvky'!$E$9,"")</f>
        <v/>
      </c>
      <c r="M16" s="618"/>
      <c r="N16" s="618"/>
    </row>
    <row r="17" spans="1:20" s="775" customFormat="1" ht="33.6" hidden="1" customHeight="1" x14ac:dyDescent="0.3">
      <c r="A17" s="764" t="s">
        <v>91</v>
      </c>
      <c r="B17" s="765"/>
      <c r="C17" s="766" t="str">
        <f>'Klasik, CNG, M3R, výrobce'!L15</f>
        <v>do 200 000</v>
      </c>
      <c r="D17" s="767" t="s">
        <v>390</v>
      </c>
      <c r="E17" s="768"/>
      <c r="F17" s="769"/>
      <c r="G17" s="770" t="s">
        <v>418</v>
      </c>
      <c r="H17" s="771" t="str">
        <f>IF(OR($F$15&gt;0,'ovládací prvky'!$C$6=3),"",IF(F17=0,"",'Klasik, CNG, M3R, výrobce'!$F$9))</f>
        <v/>
      </c>
      <c r="I17" s="772" t="str">
        <f>IF(OR($F$15&gt;0,'ovládací prvky'!$C$6=3),"",IF(F17=0,"","1/12"))</f>
        <v/>
      </c>
      <c r="J17" s="773" t="str">
        <f>IF(OR($F$15&gt;0,'ovládací prvky'!$C$6=3),"",IF('ovládací prvky'!$C$6=4,'Klasik, CNG, M3R, výrobce'!L38,IF(F17=0,"",'Klasik, CNG, M3R, výrobce'!X15)))</f>
        <v/>
      </c>
      <c r="K17" s="774" t="str">
        <f>IF(OR($F$15&gt;0,'ovládací prvky'!$C$6=3),"-",IF('ovládací prvky'!$C$6=4,'Klasik, CNG, M3R, výrobce'!P39,IF(F17=0,"-",'Klasik, CNG, M3R, výrobce'!Y15)))</f>
        <v>-</v>
      </c>
      <c r="L17" s="618"/>
      <c r="M17" s="618"/>
      <c r="N17" s="618"/>
    </row>
    <row r="18" spans="1:20" s="5" customFormat="1" ht="16.8" thickBot="1" x14ac:dyDescent="0.35">
      <c r="A18" s="535" t="s">
        <v>94</v>
      </c>
      <c r="B18" s="538"/>
      <c r="C18" s="761" t="str">
        <f>'Klasik, CNG, M3R, výrobce'!L14</f>
        <v>do 200 000</v>
      </c>
      <c r="D18" s="794" t="s">
        <v>329</v>
      </c>
      <c r="E18" s="705"/>
      <c r="F18" s="795"/>
      <c r="G18" s="29" t="s">
        <v>25</v>
      </c>
      <c r="H18" s="489" t="str">
        <f>IFERROR(IF(F18=0,"",'Klasik, CNG, M3R, výrobce'!F9),"neúplné údaje")</f>
        <v/>
      </c>
      <c r="I18" s="530" t="str">
        <f>IF(F18=0,"","1/12")</f>
        <v/>
      </c>
      <c r="J18" s="483" t="str">
        <f>IF(F18=0,"",IF('ovládací prvky'!$C$6=4,'Klasik, CNG, M3R, výrobce'!E54,IF(F18=0,"",'Klasik, CNG, M3R, výrobce'!X14)))</f>
        <v/>
      </c>
      <c r="K18" s="609" t="str">
        <f>IFERROR(IF('ovládací prvky'!$C$6=4,'Klasik, CNG, M3R, výrobce'!P37,IF(F18=0,"-",'Klasik, CNG, M3R, výrobce'!Y14)),"neúplné údaje")</f>
        <v>-</v>
      </c>
      <c r="L18" s="618"/>
      <c r="M18" s="618"/>
      <c r="N18" s="618"/>
    </row>
    <row r="19" spans="1:20" s="5" customFormat="1" ht="15" customHeight="1" x14ac:dyDescent="0.3">
      <c r="A19" s="535" t="s">
        <v>97</v>
      </c>
      <c r="B19" s="538"/>
      <c r="C19" s="761" t="str">
        <f>'Klasik, CNG, M3R, výrobce'!L16</f>
        <v>do 200 000</v>
      </c>
      <c r="D19" s="653" t="s">
        <v>7</v>
      </c>
      <c r="E19" s="632"/>
      <c r="F19" s="615"/>
      <c r="G19" s="30" t="s">
        <v>25</v>
      </c>
      <c r="H19" s="488" t="str">
        <f>IF(F15&gt;0,"",IF(F19=0,"",'Klasik, CNG, M3R, výrobce'!F9))</f>
        <v/>
      </c>
      <c r="I19" s="611"/>
      <c r="J19" s="440" t="str">
        <f>IF(F19=0,"",IF(F15&gt;0,"",IF('ovládací prvky'!$C$6=4,'Klasik, CNG, M3R, výrobce'!E54,IF(F19=0,"",'Klasik, CNG, M3R, výrobce'!X16))))</f>
        <v/>
      </c>
      <c r="K19" s="607" t="str">
        <f>IF(F15&gt;0,"-",IF('ovládací prvky'!$C$6=4,'Klasik, CNG, M3R, výrobce'!P38,IF(F19=0,"-",'Klasik, CNG, M3R, výrobce'!Y16)))</f>
        <v>-</v>
      </c>
      <c r="L19" s="529" t="str">
        <f>IF(AND(F19&gt;0,$F$15&gt;0),"Pro kapacitu dle hist.maxima se nepočítá platba za měsíční kapacitu.","")</f>
        <v/>
      </c>
      <c r="M19" s="436"/>
      <c r="N19" s="436"/>
      <c r="T19" s="11"/>
    </row>
    <row r="20" spans="1:20" s="5" customFormat="1" ht="15" customHeight="1" x14ac:dyDescent="0.3">
      <c r="A20" s="535" t="s">
        <v>100</v>
      </c>
      <c r="B20" s="538"/>
      <c r="C20" s="761" t="str">
        <f>'Klasik, CNG, M3R, výrobce'!L17</f>
        <v>do 200 000</v>
      </c>
      <c r="D20" s="664" t="s">
        <v>8</v>
      </c>
      <c r="E20" s="622"/>
      <c r="F20" s="614"/>
      <c r="G20" s="31" t="s">
        <v>25</v>
      </c>
      <c r="H20" s="487" t="str">
        <f>IF(F15&gt;0,"",IF('ovládací prvky'!$C$6=4,"-",IF(F20=0,"",'Klasik, CNG, M3R, výrobce'!F9)))</f>
        <v/>
      </c>
      <c r="I20" s="612"/>
      <c r="J20" s="441" t="str">
        <f>IF(F15&gt;0,"",IF('ovládací prvky'!$C$6=4,"",IF(F20=0,"",'Klasik, CNG, M3R, výrobce'!X17)))</f>
        <v/>
      </c>
      <c r="K20" s="608" t="str">
        <f>IF(F15&gt;0,"-",IF('ovládací prvky'!$C$6=4,"-",IF(F20=0,"-",'Klasik, CNG, M3R, výrobce'!Y17)))</f>
        <v>-</v>
      </c>
      <c r="L20" s="529" t="str">
        <f t="shared" ref="L20:L24" si="0">IF(AND(F20&gt;0,$F$15&gt;0),"Pro kapacitu dle hist.maxima se nepočítá platba za měsíční kapacitu.","")</f>
        <v/>
      </c>
      <c r="N20" s="343"/>
      <c r="T20" s="11"/>
    </row>
    <row r="21" spans="1:20" s="5" customFormat="1" ht="15" customHeight="1" x14ac:dyDescent="0.3">
      <c r="A21" s="535" t="s">
        <v>103</v>
      </c>
      <c r="B21" s="538"/>
      <c r="C21" s="761" t="str">
        <f>'Klasik, CNG, M3R, výrobce'!L18</f>
        <v>do 200 000</v>
      </c>
      <c r="D21" s="664" t="s">
        <v>9</v>
      </c>
      <c r="E21" s="622"/>
      <c r="F21" s="614"/>
      <c r="G21" s="31" t="s">
        <v>25</v>
      </c>
      <c r="H21" s="487" t="str">
        <f>IF(F15&gt;0,"",IF('ovládací prvky'!$C$6=4,"-",IF(F21=0,"",'Klasik, CNG, M3R, výrobce'!F9)))</f>
        <v/>
      </c>
      <c r="I21" s="612"/>
      <c r="J21" s="441" t="str">
        <f>IF(F15&gt;0,"",IF('ovládací prvky'!$C$6=4,"",IF(F21=0,"",'Klasik, CNG, M3R, výrobce'!X18)))</f>
        <v/>
      </c>
      <c r="K21" s="608" t="str">
        <f>IF(F15&gt;0,"-",IF('ovládací prvky'!$C$6=4,"-",IF(F21=0,"-",'Klasik, CNG, M3R, výrobce'!Y18)))</f>
        <v>-</v>
      </c>
      <c r="L21" s="529" t="str">
        <f t="shared" si="0"/>
        <v/>
      </c>
      <c r="N21" s="343"/>
      <c r="T21" s="11"/>
    </row>
    <row r="22" spans="1:20" s="5" customFormat="1" ht="15" customHeight="1" x14ac:dyDescent="0.3">
      <c r="A22" s="535" t="s">
        <v>106</v>
      </c>
      <c r="B22" s="538"/>
      <c r="C22" s="761" t="str">
        <f>'Klasik, CNG, M3R, výrobce'!L19</f>
        <v>do 200 000</v>
      </c>
      <c r="D22" s="664" t="s">
        <v>10</v>
      </c>
      <c r="E22" s="622"/>
      <c r="F22" s="614"/>
      <c r="G22" s="31" t="s">
        <v>25</v>
      </c>
      <c r="H22" s="487" t="str">
        <f>IF(F15&gt;0,"",IF('ovládací prvky'!$C$6=4,"-",IF(F22=0,"",'Klasik, CNG, M3R, výrobce'!F9)))</f>
        <v/>
      </c>
      <c r="I22" s="612"/>
      <c r="J22" s="441" t="str">
        <f>IF(F15&gt;0,"",IF('ovládací prvky'!$C$6=4,"",IF(F22=0,"",'Klasik, CNG, M3R, výrobce'!X19)))</f>
        <v/>
      </c>
      <c r="K22" s="608" t="str">
        <f>IF(F15&gt;0,"-",IF('ovládací prvky'!$C$6=4,"-",IF(F22=0,"-",'Klasik, CNG, M3R, výrobce'!Y19)))</f>
        <v>-</v>
      </c>
      <c r="L22" s="529" t="str">
        <f t="shared" si="0"/>
        <v/>
      </c>
      <c r="N22" s="343"/>
      <c r="T22" s="11"/>
    </row>
    <row r="23" spans="1:20" s="5" customFormat="1" ht="15" customHeight="1" thickBot="1" x14ac:dyDescent="0.35">
      <c r="A23" s="535" t="s">
        <v>109</v>
      </c>
      <c r="B23" s="538"/>
      <c r="C23" s="761" t="str">
        <f>'Klasik, CNG, M3R, výrobce'!L20</f>
        <v>do 200 000</v>
      </c>
      <c r="D23" s="762" t="s">
        <v>11</v>
      </c>
      <c r="E23" s="688"/>
      <c r="F23" s="560"/>
      <c r="G23" s="526" t="s">
        <v>25</v>
      </c>
      <c r="H23" s="527" t="str">
        <f>IF($F$15&gt;0,"",IF('ovládací prvky'!$C$6=4,"-",IF(F23=0,"",'Klasik, CNG, M3R, výrobce'!$F$9)))</f>
        <v/>
      </c>
      <c r="I23" s="613"/>
      <c r="J23" s="528" t="str">
        <f>IF($F$15&gt;0,"",IF('ovládací prvky'!$C$6=4,"",IF(F23=0,"",'Klasik, CNG, M3R, výrobce'!X20)))</f>
        <v/>
      </c>
      <c r="K23" s="610" t="str">
        <f>IF($F$15&gt;0,"-",IF('ovládací prvky'!$C$6=4,"-",IF(F23=0,"-",'Klasik, CNG, M3R, výrobce'!Y20)))</f>
        <v>-</v>
      </c>
      <c r="L23" s="529" t="str">
        <f t="shared" si="0"/>
        <v/>
      </c>
      <c r="N23" s="343"/>
      <c r="T23" s="11"/>
    </row>
    <row r="24" spans="1:20" s="775" customFormat="1" ht="15" hidden="1" customHeight="1" x14ac:dyDescent="0.3">
      <c r="A24" s="776" t="s">
        <v>399</v>
      </c>
      <c r="B24" s="777">
        <f>SUM(B12:B23)/1000</f>
        <v>0</v>
      </c>
      <c r="C24" s="778" t="str">
        <f>'Klasik, CNG, M3R, výrobce'!L21</f>
        <v>do 200 000</v>
      </c>
      <c r="D24" s="796" t="s">
        <v>391</v>
      </c>
      <c r="E24" s="797"/>
      <c r="F24" s="798"/>
      <c r="G24" s="799" t="s">
        <v>418</v>
      </c>
      <c r="H24" s="800" t="str">
        <f>IF($F$15&gt;0,"",IF('ovládací prvky'!$C$6=4,"-",IF(F24=0,"",'Klasik, CNG, M3R, výrobce'!$F$9)))</f>
        <v/>
      </c>
      <c r="I24" s="801"/>
      <c r="J24" s="802" t="str">
        <f>IF($F$15&gt;0,"",IF('ovládací prvky'!$C$6=4,"",IF(F24=0,"",'Klasik, CNG, M3R, výrobce'!X21)))</f>
        <v/>
      </c>
      <c r="K24" s="803" t="str">
        <f>IF($F$15&gt;0,"-",IF('ovládací prvky'!$C$6=4,"-",IF(F24=0,"-",'Klasik, CNG, M3R, výrobce'!Y21)))</f>
        <v>-</v>
      </c>
      <c r="L24" s="782" t="str">
        <f t="shared" si="0"/>
        <v/>
      </c>
      <c r="N24" s="783"/>
      <c r="T24" s="784"/>
    </row>
    <row r="25" spans="1:20" s="775" customFormat="1" ht="15" hidden="1" customHeight="1" x14ac:dyDescent="0.3">
      <c r="C25" s="778" t="str">
        <f>'Klasik, CNG, M3R, výrobce'!L22</f>
        <v>do 200 000</v>
      </c>
      <c r="D25" s="779" t="s">
        <v>395</v>
      </c>
      <c r="E25" s="768"/>
      <c r="F25" s="780"/>
      <c r="G25" s="770" t="s">
        <v>418</v>
      </c>
      <c r="H25" s="771" t="str">
        <f>IF($F$15&gt;0,"",IF('ovládací prvky'!$C$6=4,"-",IF(F25=0,"",'Klasik, CNG, M3R, výrobce'!$F$9)))</f>
        <v/>
      </c>
      <c r="I25" s="781"/>
      <c r="J25" s="773" t="str">
        <f>IF($F$15&gt;0,"",IF('ovládací prvky'!$C$6=4,"",IF(F25=0,"",'Klasik, CNG, M3R, výrobce'!X22)))</f>
        <v/>
      </c>
      <c r="K25" s="774" t="str">
        <f>IF($F$15&gt;0,"-",IF('ovládací prvky'!$C$6=4,"-",IF(F25=0,"-",'Klasik, CNG, M3R, výrobce'!Y22)))</f>
        <v>-</v>
      </c>
      <c r="L25" s="782"/>
      <c r="N25" s="783"/>
      <c r="O25" s="785"/>
      <c r="T25" s="784"/>
    </row>
    <row r="26" spans="1:20" s="775" customFormat="1" ht="15" hidden="1" customHeight="1" x14ac:dyDescent="0.3">
      <c r="C26" s="778" t="str">
        <f>'Klasik, CNG, M3R, výrobce'!L23</f>
        <v>do 200 000</v>
      </c>
      <c r="D26" s="779" t="s">
        <v>396</v>
      </c>
      <c r="E26" s="768"/>
      <c r="F26" s="780"/>
      <c r="G26" s="770" t="s">
        <v>418</v>
      </c>
      <c r="H26" s="771" t="str">
        <f>IF($F$15&gt;0,"",IF('ovládací prvky'!$C$6=4,"-",IF(F26=0,"",'Klasik, CNG, M3R, výrobce'!$F$9)))</f>
        <v/>
      </c>
      <c r="I26" s="781"/>
      <c r="J26" s="773" t="str">
        <f>IF($F$15&gt;0,"",IF('ovládací prvky'!$C$6=4,"",IF(F26=0,"",'Klasik, CNG, M3R, výrobce'!X23)))</f>
        <v/>
      </c>
      <c r="K26" s="774" t="str">
        <f>IF($F$15&gt;0,"-",IF('ovládací prvky'!$C$6=4,"-",IF(F26=0,"-",'Klasik, CNG, M3R, výrobce'!Y23)))</f>
        <v>-</v>
      </c>
      <c r="L26" s="782"/>
      <c r="N26" s="783"/>
      <c r="O26" s="785"/>
      <c r="T26" s="784"/>
    </row>
    <row r="27" spans="1:20" s="775" customFormat="1" ht="15" hidden="1" customHeight="1" x14ac:dyDescent="0.3">
      <c r="C27" s="778" t="str">
        <f>'Klasik, CNG, M3R, výrobce'!L24</f>
        <v>do 200 000</v>
      </c>
      <c r="D27" s="779" t="s">
        <v>397</v>
      </c>
      <c r="E27" s="768"/>
      <c r="F27" s="780"/>
      <c r="G27" s="770" t="s">
        <v>418</v>
      </c>
      <c r="H27" s="771" t="str">
        <f>IF($F$15&gt;0,"",IF('ovládací prvky'!$C$6=4,"-",IF(F27=0,"",'Klasik, CNG, M3R, výrobce'!$F$9)))</f>
        <v/>
      </c>
      <c r="I27" s="781"/>
      <c r="J27" s="773" t="str">
        <f>IF($F$15&gt;0,"",IF('ovládací prvky'!$C$6=4,"",IF(F27=0,"",'Klasik, CNG, M3R, výrobce'!X24)))</f>
        <v/>
      </c>
      <c r="K27" s="774" t="str">
        <f>IF($F$15&gt;0,"-",IF('ovládací prvky'!$C$6=4,"-",IF(F27=0,"-",'Klasik, CNG, M3R, výrobce'!Y24)))</f>
        <v>-</v>
      </c>
      <c r="L27" s="782"/>
      <c r="N27" s="783"/>
      <c r="O27" s="785"/>
      <c r="T27" s="784"/>
    </row>
    <row r="28" spans="1:20" s="775" customFormat="1" ht="15" hidden="1" customHeight="1" thickBot="1" x14ac:dyDescent="0.35">
      <c r="C28" s="778" t="str">
        <f>'Klasik, CNG, M3R, výrobce'!L25</f>
        <v>do 200 000</v>
      </c>
      <c r="D28" s="786" t="s">
        <v>398</v>
      </c>
      <c r="E28" s="787"/>
      <c r="F28" s="788"/>
      <c r="G28" s="789" t="s">
        <v>418</v>
      </c>
      <c r="H28" s="790" t="str">
        <f>IF($F$15&gt;0,"",IF('ovládací prvky'!$C$6=4,"-",IF(F28=0,"",'Klasik, CNG, M3R, výrobce'!$F$9)))</f>
        <v/>
      </c>
      <c r="I28" s="791"/>
      <c r="J28" s="792" t="str">
        <f>IF($F$15&gt;0,"",IF('ovládací prvky'!$C$6=4,"",IF(F28=0,"",'Klasik, CNG, M3R, výrobce'!X25)))</f>
        <v/>
      </c>
      <c r="K28" s="793" t="str">
        <f>IF($F$15&gt;0,"-",IF('ovládací prvky'!$C$6=4,"-",IF(F28=0,"-",'Klasik, CNG, M3R, výrobce'!Y25)))</f>
        <v>-</v>
      </c>
      <c r="L28" s="782"/>
      <c r="N28" s="783"/>
      <c r="O28" s="785"/>
      <c r="T28" s="784"/>
    </row>
    <row r="29" spans="1:20" s="5" customFormat="1" ht="15" customHeight="1" x14ac:dyDescent="0.25">
      <c r="C29" s="706" t="str">
        <f>'Klasik, CNG, M3R, výrobce'!L26</f>
        <v>do 200 000</v>
      </c>
      <c r="D29" s="623" t="s">
        <v>12</v>
      </c>
      <c r="E29" s="624"/>
      <c r="F29" s="625"/>
      <c r="G29" s="633" t="s">
        <v>25</v>
      </c>
      <c r="H29" s="637" t="str">
        <f>IF(F15&gt;0,"",IF('ovládací prvky'!$C$6=4,"-",IF(OR(F29=0,D31=0),"",'Klasik, CNG, M3R, výrobce'!E82)))</f>
        <v/>
      </c>
      <c r="I29" s="640" t="str">
        <f>IF(F15&gt;0,"",IF('ovládací prvky'!$C$6=4,"",IF(F29=0,"",'Klasik, CNG, M3R, výrobce'!V26)))</f>
        <v/>
      </c>
      <c r="J29" s="640" t="str">
        <f>IF(F15&gt;0,"",IF('ovládací prvky'!$C$6=4,"",IF(H29=0,"",IF(F29=0,"",'Klasik, CNG, M3R, výrobce'!X26))))</f>
        <v/>
      </c>
      <c r="K29" s="634" t="str">
        <f>IF(F15&gt;0,"-",IF('ovládací prvky'!$C$6=4,"-",IF(F29=0,"-",'Klasik, CNG, M3R, výrobce'!Y26)))</f>
        <v>-</v>
      </c>
      <c r="L29" s="9"/>
      <c r="O29" s="12"/>
      <c r="P29" s="13"/>
      <c r="T29" s="11"/>
    </row>
    <row r="30" spans="1:20" s="5" customFormat="1" ht="15" customHeight="1" x14ac:dyDescent="0.25">
      <c r="C30" s="706"/>
      <c r="D30" s="540" t="s">
        <v>29</v>
      </c>
      <c r="E30" s="484" t="s">
        <v>31</v>
      </c>
      <c r="F30" s="626"/>
      <c r="G30" s="629"/>
      <c r="H30" s="638"/>
      <c r="I30" s="641"/>
      <c r="J30" s="641"/>
      <c r="K30" s="635"/>
      <c r="L30" s="498" t="str">
        <f>IF(AND(F29&gt;0,$F$15&gt;0),"Pro kapacitu dle hist.maxima se nepočítá platba za klouzavou kapacitu.","")</f>
        <v/>
      </c>
      <c r="O30" s="12"/>
      <c r="T30" s="11"/>
    </row>
    <row r="31" spans="1:20" s="5" customFormat="1" ht="21" customHeight="1" thickBot="1" x14ac:dyDescent="0.3">
      <c r="C31" s="706"/>
      <c r="D31" s="541"/>
      <c r="E31" s="485"/>
      <c r="F31" s="627"/>
      <c r="G31" s="630"/>
      <c r="H31" s="639"/>
      <c r="I31" s="642"/>
      <c r="J31" s="642"/>
      <c r="K31" s="636"/>
      <c r="L31" s="498"/>
      <c r="M31" s="351"/>
      <c r="O31" s="12"/>
      <c r="T31" s="11"/>
    </row>
    <row r="32" spans="1:20" s="5" customFormat="1" ht="15" customHeight="1" x14ac:dyDescent="0.25">
      <c r="C32" s="706" t="str">
        <f>'Klasik, CNG, M3R, výrobce'!L27</f>
        <v>do 200 000</v>
      </c>
      <c r="D32" s="631" t="s">
        <v>13</v>
      </c>
      <c r="E32" s="632"/>
      <c r="F32" s="644"/>
      <c r="G32" s="628" t="s">
        <v>25</v>
      </c>
      <c r="H32" s="643" t="str">
        <f>IF(F15&gt;0,"",IF('ovládací prvky'!$C$6=4,"-",IF(OR(F32=0,D34=0),"",'Klasik, CNG, M3R, výrobce'!F82)))</f>
        <v/>
      </c>
      <c r="I32" s="647" t="str">
        <f>IF(F15&gt;0,"",IF('ovládací prvky'!$C$6=4,"",IF(F32=0,"",'Klasik, CNG, M3R, výrobce'!V27)))</f>
        <v/>
      </c>
      <c r="J32" s="647" t="str">
        <f>IF(F15&gt;0,"",IF('ovládací prvky'!$C$6=4,"",IF(H32=0,"",IF(F32=0,"",'Klasik, CNG, M3R, výrobce'!X27))))</f>
        <v/>
      </c>
      <c r="K32" s="681" t="str">
        <f>IF(F15&gt;0,"-",IF('ovládací prvky'!$C$6=4,"-",IF(F32=0,"-",'Klasik, CNG, M3R, výrobce'!Y27)))</f>
        <v>-</v>
      </c>
      <c r="L32" s="9"/>
      <c r="M32" s="351"/>
      <c r="O32" s="12"/>
      <c r="T32" s="11"/>
    </row>
    <row r="33" spans="3:20" s="5" customFormat="1" ht="15" customHeight="1" x14ac:dyDescent="0.25">
      <c r="C33" s="706"/>
      <c r="D33" s="542" t="s">
        <v>29</v>
      </c>
      <c r="E33" s="486" t="s">
        <v>31</v>
      </c>
      <c r="F33" s="645"/>
      <c r="G33" s="629"/>
      <c r="H33" s="638"/>
      <c r="I33" s="641"/>
      <c r="J33" s="641"/>
      <c r="K33" s="635"/>
      <c r="L33" s="498" t="str">
        <f>IF(AND(F32&gt;0,$F$15&gt;0),"Pro kapacitu dle hist.maxima se nepočítá platba za klouzavou kapacitu.","")</f>
        <v/>
      </c>
      <c r="M33" s="351"/>
      <c r="O33" s="12"/>
      <c r="T33" s="11"/>
    </row>
    <row r="34" spans="3:20" s="5" customFormat="1" ht="21" customHeight="1" thickBot="1" x14ac:dyDescent="0.3">
      <c r="C34" s="706"/>
      <c r="D34" s="541"/>
      <c r="E34" s="485"/>
      <c r="F34" s="646"/>
      <c r="G34" s="630"/>
      <c r="H34" s="639"/>
      <c r="I34" s="642"/>
      <c r="J34" s="642"/>
      <c r="K34" s="636"/>
      <c r="L34" s="498"/>
      <c r="M34" s="351"/>
      <c r="N34" s="15"/>
      <c r="T34" s="16"/>
    </row>
    <row r="35" spans="3:20" s="5" customFormat="1" ht="15" customHeight="1" x14ac:dyDescent="0.25">
      <c r="C35" s="706" t="str">
        <f>'Klasik, CNG, M3R, výrobce'!L28</f>
        <v>do 200 000</v>
      </c>
      <c r="D35" s="631" t="s">
        <v>14</v>
      </c>
      <c r="E35" s="632"/>
      <c r="F35" s="644"/>
      <c r="G35" s="628" t="s">
        <v>25</v>
      </c>
      <c r="H35" s="619" t="str">
        <f>IF(F15&gt;0,"",IF('ovládací prvky'!$C$6=4,"-",IF(OR(D37=0,F35=0),"",'Klasik, CNG, M3R, výrobce'!G82)))</f>
        <v/>
      </c>
      <c r="I35" s="647" t="str">
        <f>IF(F15&gt;0,"",IF('ovládací prvky'!$C$6=4,"",IF(F35=0,"",'Klasik, CNG, M3R, výrobce'!V28)))</f>
        <v/>
      </c>
      <c r="J35" s="647" t="str">
        <f>IF(F15&gt;0,"",IF('ovládací prvky'!$C$6=4,"",IF(H35=0,"",IF(F35=0,"",'Klasik, CNG, M3R, výrobce'!X28))))</f>
        <v/>
      </c>
      <c r="K35" s="681" t="str">
        <f>IF(F15&gt;0,"-",IF('ovládací prvky'!$C$6=4,"-",IF(F35=0,"-",'Klasik, CNG, M3R, výrobce'!Y28)))</f>
        <v>-</v>
      </c>
      <c r="L35" s="9"/>
      <c r="M35" s="14"/>
      <c r="N35" s="17"/>
      <c r="T35" s="11"/>
    </row>
    <row r="36" spans="3:20" s="5" customFormat="1" ht="15" customHeight="1" x14ac:dyDescent="0.25">
      <c r="C36" s="706"/>
      <c r="D36" s="542" t="s">
        <v>30</v>
      </c>
      <c r="E36" s="486" t="s">
        <v>31</v>
      </c>
      <c r="F36" s="645"/>
      <c r="G36" s="629"/>
      <c r="H36" s="620"/>
      <c r="I36" s="641"/>
      <c r="J36" s="641"/>
      <c r="K36" s="635"/>
      <c r="L36" s="498" t="str">
        <f>IF(AND(F35&gt;0,$F$15&gt;0),"Pro kapacitu dle hist.maxima se nepočítá platba za klouzavou kapacitu.","")</f>
        <v/>
      </c>
      <c r="M36" s="14"/>
      <c r="N36" s="17"/>
      <c r="T36" s="11"/>
    </row>
    <row r="37" spans="3:20" s="5" customFormat="1" ht="21" customHeight="1" thickBot="1" x14ac:dyDescent="0.3">
      <c r="C37" s="706"/>
      <c r="D37" s="541"/>
      <c r="E37" s="485"/>
      <c r="F37" s="646"/>
      <c r="G37" s="630"/>
      <c r="H37" s="621"/>
      <c r="I37" s="642"/>
      <c r="J37" s="642"/>
      <c r="K37" s="636"/>
      <c r="L37" s="498"/>
      <c r="M37" s="14"/>
      <c r="N37" s="17"/>
      <c r="T37" s="11"/>
    </row>
    <row r="38" spans="3:20" s="5" customFormat="1" ht="15" customHeight="1" x14ac:dyDescent="0.25">
      <c r="C38" s="706" t="str">
        <f>'Klasik, CNG, M3R, výrobce'!L29</f>
        <v>do 200 000</v>
      </c>
      <c r="D38" s="631" t="s">
        <v>15</v>
      </c>
      <c r="E38" s="632"/>
      <c r="F38" s="644"/>
      <c r="G38" s="628" t="s">
        <v>25</v>
      </c>
      <c r="H38" s="619" t="str">
        <f>IF(F15&gt;0,"",IF('ovládací prvky'!$C$6=4,"-",IF(OR(F38=0,D40=0),"",'Klasik, CNG, M3R, výrobce'!H82)))</f>
        <v/>
      </c>
      <c r="I38" s="647" t="str">
        <f>IF(F15&gt;0,"",IF(F15&gt;0,"",IF('ovládací prvky'!$C$6=4,"",IF(F38=0,"",'Klasik, CNG, M3R, výrobce'!V29))))</f>
        <v/>
      </c>
      <c r="J38" s="647" t="str">
        <f>IF(F15&gt;0,"",IF('ovládací prvky'!$C$6=4,"",IF(H38=0,"",IF(F38=0,"",'Klasik, CNG, M3R, výrobce'!X29))))</f>
        <v/>
      </c>
      <c r="K38" s="681" t="str">
        <f>IF(F15&gt;0,"-",IF('ovládací prvky'!$C$6=4,"-",IF(F38=0,"-",'Klasik, CNG, M3R, výrobce'!Y29)))</f>
        <v>-</v>
      </c>
      <c r="L38" s="9"/>
      <c r="M38" s="14"/>
      <c r="N38" s="17"/>
      <c r="T38" s="11"/>
    </row>
    <row r="39" spans="3:20" s="5" customFormat="1" ht="15" customHeight="1" x14ac:dyDescent="0.25">
      <c r="C39" s="706"/>
      <c r="D39" s="542" t="s">
        <v>30</v>
      </c>
      <c r="E39" s="486" t="s">
        <v>31</v>
      </c>
      <c r="F39" s="645"/>
      <c r="G39" s="629"/>
      <c r="H39" s="620"/>
      <c r="I39" s="641"/>
      <c r="J39" s="641"/>
      <c r="K39" s="635"/>
      <c r="L39" s="498" t="str">
        <f>IF(AND(F38&gt;0,$F$15&gt;0),"Pro kapacitu dle hist.maxima se nepočítá platba za klouzavou kapacitu.","")</f>
        <v/>
      </c>
      <c r="M39" s="14"/>
      <c r="N39" s="17"/>
      <c r="T39" s="11"/>
    </row>
    <row r="40" spans="3:20" ht="21" customHeight="1" thickBot="1" x14ac:dyDescent="0.3">
      <c r="C40" s="706"/>
      <c r="D40" s="541"/>
      <c r="E40" s="485"/>
      <c r="F40" s="646"/>
      <c r="G40" s="630"/>
      <c r="H40" s="621"/>
      <c r="I40" s="642"/>
      <c r="J40" s="642"/>
      <c r="K40" s="636"/>
      <c r="L40" s="498"/>
      <c r="N40" s="15"/>
      <c r="T40" s="19"/>
    </row>
    <row r="41" spans="3:20" ht="15" customHeight="1" x14ac:dyDescent="0.25">
      <c r="C41" s="706" t="str">
        <f>'Klasik, CNG, M3R, výrobce'!L30</f>
        <v>do 200 000</v>
      </c>
      <c r="D41" s="631" t="s">
        <v>16</v>
      </c>
      <c r="E41" s="632"/>
      <c r="F41" s="644"/>
      <c r="G41" s="628" t="s">
        <v>25</v>
      </c>
      <c r="H41" s="619" t="str">
        <f>IF(F15&gt;0,"",IF('ovládací prvky'!$C$6=4,"-",IF(OR(F41=0,D43=0),"",'Klasik, CNG, M3R, výrobce'!I82)))</f>
        <v/>
      </c>
      <c r="I41" s="647" t="str">
        <f>IF(F15&gt;0,"",IF('ovládací prvky'!$C$6=4,"",IF(F41=0,"",'Klasik, CNG, M3R, výrobce'!V30)))</f>
        <v/>
      </c>
      <c r="J41" s="647" t="str">
        <f>IF(F15&gt;0,"",IF('ovládací prvky'!$C$6=4,"",IF(H41=0,"",IF(F41=0,"",'Klasik, CNG, M3R, výrobce'!X30))))</f>
        <v/>
      </c>
      <c r="K41" s="681" t="str">
        <f>IF(F15&gt;0,"-",IF('ovládací prvky'!$C$6=4,"-",IF(F41=0,"-",'Klasik, CNG, M3R, výrobce'!Y30)))</f>
        <v>-</v>
      </c>
      <c r="M41" s="18"/>
      <c r="N41" s="497"/>
    </row>
    <row r="42" spans="3:20" ht="15.6" customHeight="1" x14ac:dyDescent="0.25">
      <c r="C42" s="706"/>
      <c r="D42" s="542" t="s">
        <v>30</v>
      </c>
      <c r="E42" s="486" t="s">
        <v>31</v>
      </c>
      <c r="F42" s="645"/>
      <c r="G42" s="629"/>
      <c r="H42" s="620"/>
      <c r="I42" s="641"/>
      <c r="J42" s="641"/>
      <c r="K42" s="635"/>
      <c r="L42" s="498" t="str">
        <f>IF(AND(F41&gt;0,$F$15&gt;0),"Pro kapacitu dle hist.maxima se nepočítá platba za klouzavou kapacitu.","")</f>
        <v/>
      </c>
      <c r="M42" s="18"/>
      <c r="N42" s="497"/>
    </row>
    <row r="43" spans="3:20" ht="21" customHeight="1" thickBot="1" x14ac:dyDescent="0.3">
      <c r="C43" s="706"/>
      <c r="D43" s="541"/>
      <c r="E43" s="485"/>
      <c r="F43" s="646"/>
      <c r="G43" s="630"/>
      <c r="H43" s="621"/>
      <c r="I43" s="642"/>
      <c r="J43" s="642"/>
      <c r="K43" s="682"/>
      <c r="L43" s="498"/>
    </row>
    <row r="44" spans="3:20" ht="13.95" customHeight="1" x14ac:dyDescent="0.25">
      <c r="C44" s="706" t="str">
        <f>'Klasik, CNG, M3R, výrobce'!M31</f>
        <v>do 200 000</v>
      </c>
      <c r="D44" s="684" t="s">
        <v>327</v>
      </c>
      <c r="E44" s="669"/>
      <c r="F44" s="685">
        <f>IF(F15&gt;0,"",IF('ovládací prvky'!$C$6=4,'Klasik, CNG, M3R, výrobce'!J38,'Klasik, CNG, M3R, výrobce'!F22))</f>
        <v>0</v>
      </c>
      <c r="G44" s="628" t="s">
        <v>25</v>
      </c>
      <c r="H44" s="628"/>
      <c r="I44" s="628"/>
      <c r="J44" s="660" t="str">
        <f>IF(OR(F44=0,F44=""),"",IF('ovládací prvky'!$C$6=4,'Klasik, CNG, M3R, výrobce'!L38,'Klasik, CNG, M3R, výrobce'!W31))</f>
        <v/>
      </c>
      <c r="K44" s="681" t="str">
        <f>IF(OR(F44=0,F44=""),"-",IF('ovládací prvky'!$C$6=4,'Klasik, CNG, M3R, výrobce'!M38,'Klasik, CNG, M3R, výrobce'!Y31))</f>
        <v>-</v>
      </c>
      <c r="L44" s="693" t="str">
        <f>IF(F15&gt;0,"Pro kapacitu dle hist.maxima se nepočítá platba za překročení.",IF('ovládací prvky'!K6=1,'ovládací prvky'!$J$7,IF('ovládací prvky'!C6=2,"dle CR CNG platí za překročení, pokud k němu došlo po 30.6.2022","")))</f>
        <v/>
      </c>
      <c r="M44" s="693"/>
      <c r="N44" s="693"/>
    </row>
    <row r="45" spans="3:20" ht="30.6" customHeight="1" x14ac:dyDescent="0.25">
      <c r="C45" s="706"/>
      <c r="D45" s="542" t="s">
        <v>364</v>
      </c>
      <c r="E45" s="490" t="s">
        <v>383</v>
      </c>
      <c r="F45" s="686"/>
      <c r="G45" s="629"/>
      <c r="H45" s="629"/>
      <c r="I45" s="629"/>
      <c r="J45" s="683"/>
      <c r="K45" s="635"/>
      <c r="L45" s="693"/>
      <c r="M45" s="693"/>
      <c r="N45" s="693"/>
    </row>
    <row r="46" spans="3:20" ht="15.6" customHeight="1" thickBot="1" x14ac:dyDescent="0.3">
      <c r="C46" s="706"/>
      <c r="D46" s="760"/>
      <c r="E46" s="492"/>
      <c r="F46" s="687"/>
      <c r="G46" s="678"/>
      <c r="H46" s="678"/>
      <c r="I46" s="678"/>
      <c r="J46" s="656"/>
      <c r="K46" s="682"/>
      <c r="L46" s="693"/>
      <c r="M46" s="693"/>
      <c r="N46" s="693"/>
    </row>
    <row r="47" spans="3:20" ht="38.4" customHeight="1" thickBot="1" x14ac:dyDescent="0.3">
      <c r="D47" s="665" t="s">
        <v>325</v>
      </c>
      <c r="E47" s="666"/>
      <c r="F47" s="666"/>
      <c r="G47" s="666"/>
      <c r="H47" s="666"/>
      <c r="I47" s="666"/>
      <c r="J47" s="667"/>
      <c r="K47" s="515">
        <f>IF(K14="neúplné údaje","neúplné údaje",IF(OR(L47="",L47='ovládací prvky'!J7),SUM(K14:K46),"neúplné údaje"))</f>
        <v>0</v>
      </c>
      <c r="L47" s="691" t="str">
        <f>IF(AND($E$46="",'ovládací prvky'!$C$6=3),'ovládací prvky'!$D$9,"")</f>
        <v/>
      </c>
      <c r="M47" s="692"/>
      <c r="N47" s="692"/>
    </row>
    <row r="48" spans="3:20" s="38" customFormat="1" ht="15.6" customHeight="1" thickBot="1" x14ac:dyDescent="0.35">
      <c r="C48" s="547"/>
      <c r="D48" s="679" t="s">
        <v>41</v>
      </c>
      <c r="E48" s="680"/>
      <c r="F48" s="362" t="str">
        <f>IF('ovládací prvky'!$C$6=4,"-",IF(F14="","",F14))</f>
        <v/>
      </c>
      <c r="G48" s="36" t="s">
        <v>4</v>
      </c>
      <c r="H48" s="37"/>
      <c r="I48" s="37"/>
      <c r="J48" s="34">
        <f>IF('ovládací prvky'!$C$6=4,"-",IF(F48=0,"",'Klasik, CNG, M3R, výrobce'!X32))</f>
        <v>1.83E-3</v>
      </c>
      <c r="K48" s="35" t="str">
        <f>IF('ovládací prvky'!$C$6=4,"-",IF(F14=0,"",'Klasik, CNG, M3R, výrobce'!Y32))</f>
        <v/>
      </c>
      <c r="L48" s="347"/>
      <c r="M48" s="13"/>
      <c r="N48" s="13"/>
      <c r="O48" s="13"/>
      <c r="P48" s="13"/>
      <c r="Q48" s="13"/>
      <c r="R48" s="13"/>
      <c r="S48" s="13"/>
      <c r="T48" s="13"/>
    </row>
    <row r="49" spans="1:20" s="27" customFormat="1" ht="35.4" customHeight="1" thickTop="1" thickBot="1" x14ac:dyDescent="0.3">
      <c r="A49" s="759">
        <f>VLOOKUP('ovládací prvky'!$F$13,'Klasik, CNG, M3R, výrobce'!$D$60:$K$71,8,FALSE)</f>
        <v>44927</v>
      </c>
      <c r="C49" s="548"/>
      <c r="D49" s="648" t="s">
        <v>326</v>
      </c>
      <c r="E49" s="649"/>
      <c r="F49" s="649"/>
      <c r="G49" s="649"/>
      <c r="H49" s="649"/>
      <c r="I49" s="649"/>
      <c r="J49" s="650"/>
      <c r="K49" s="516">
        <f>IF(K14="neúplné údaje","neúplné údaje",SUM(K47:K48))</f>
        <v>0</v>
      </c>
      <c r="L49" s="347"/>
      <c r="M49" s="13"/>
      <c r="N49" s="13"/>
      <c r="O49" s="6"/>
      <c r="P49" s="6"/>
      <c r="Q49" s="6"/>
      <c r="R49" s="6"/>
      <c r="S49" s="6"/>
      <c r="T49" s="6"/>
    </row>
    <row r="50" spans="1:20" x14ac:dyDescent="0.25">
      <c r="A50" s="759">
        <f>VLOOKUP('ovládací prvky'!$F$13,'Klasik, CNG, M3R, výrobce'!$D$60:$L$71,9,FALSE)</f>
        <v>44957</v>
      </c>
      <c r="I50" s="21"/>
      <c r="J50" s="22"/>
      <c r="K50" s="22"/>
      <c r="L50" s="347"/>
      <c r="M50" s="13"/>
      <c r="N50" s="22"/>
    </row>
    <row r="51" spans="1:20" x14ac:dyDescent="0.25">
      <c r="D51" s="5" t="s">
        <v>17</v>
      </c>
      <c r="F51" s="435" t="str">
        <f>IF(SUM(F19:F23)=0,"není zadána měsíční kapacita",'Klasik, CNG, M3R, výrobce'!P16)</f>
        <v>není zadána měsíční kapacita</v>
      </c>
      <c r="J51" s="22"/>
      <c r="K51" s="22"/>
      <c r="L51" s="23"/>
      <c r="M51" s="22"/>
      <c r="N51" s="22"/>
    </row>
    <row r="52" spans="1:20" x14ac:dyDescent="0.25">
      <c r="D52" s="5" t="s">
        <v>363</v>
      </c>
      <c r="F52" s="435" t="str">
        <f>IF(SUM(F29:F43)=0,"není zadána klouzavá kapacita",'Klasik, CNG, M3R, výrobce'!P26)</f>
        <v>není zadána klouzavá kapacita</v>
      </c>
      <c r="J52" s="22"/>
      <c r="K52" s="22"/>
      <c r="L52" s="23"/>
      <c r="M52" s="22"/>
      <c r="N52" s="22"/>
    </row>
    <row r="53" spans="1:20" x14ac:dyDescent="0.25">
      <c r="D53" s="5" t="s">
        <v>328</v>
      </c>
      <c r="F53" s="435" t="str">
        <f>IF(OR(K44=0,K44="-"),"nedošlo k nadlimitnímu překročení rezervované kapacity",'Klasik, CNG, M3R, výrobce'!$P$31)</f>
        <v>nedošlo k nadlimitnímu překročení rezervované kapacity</v>
      </c>
      <c r="J53" s="22"/>
      <c r="K53" s="22"/>
      <c r="L53" s="23"/>
      <c r="M53" s="22"/>
      <c r="N53" s="22"/>
    </row>
    <row r="54" spans="1:20" ht="30" customHeight="1" x14ac:dyDescent="0.25">
      <c r="J54" s="22"/>
      <c r="K54" s="22"/>
      <c r="L54" s="348"/>
      <c r="M54" s="22"/>
      <c r="N54" s="24"/>
    </row>
    <row r="55" spans="1:20" ht="19.5" customHeight="1" x14ac:dyDescent="0.4">
      <c r="D55" s="499" t="s">
        <v>420</v>
      </c>
      <c r="E55" s="28"/>
      <c r="F55" s="28"/>
      <c r="G55" s="39"/>
      <c r="K55" s="8"/>
      <c r="L55" s="349"/>
      <c r="M55" s="10"/>
    </row>
    <row r="56" spans="1:20" ht="21.6" thickBot="1" x14ac:dyDescent="0.45">
      <c r="D56" s="4"/>
      <c r="E56" s="4"/>
      <c r="K56" s="8"/>
      <c r="L56" s="349"/>
      <c r="M56" s="10"/>
    </row>
    <row r="57" spans="1:20" ht="33.75" customHeight="1" thickBot="1" x14ac:dyDescent="0.3">
      <c r="D57" s="651"/>
      <c r="E57" s="652"/>
      <c r="F57" s="493" t="s">
        <v>19</v>
      </c>
      <c r="G57" s="493" t="s">
        <v>20</v>
      </c>
      <c r="H57" s="493" t="s">
        <v>333</v>
      </c>
      <c r="I57" s="493" t="s">
        <v>334</v>
      </c>
      <c r="J57" s="493" t="s">
        <v>27</v>
      </c>
      <c r="K57" s="494" t="s">
        <v>22</v>
      </c>
    </row>
    <row r="58" spans="1:20" ht="25.5" customHeight="1" x14ac:dyDescent="0.25">
      <c r="D58" s="653" t="s">
        <v>330</v>
      </c>
      <c r="E58" s="632"/>
      <c r="F58" s="359"/>
      <c r="G58" s="423" t="s">
        <v>25</v>
      </c>
      <c r="H58" s="660"/>
      <c r="I58" s="660"/>
      <c r="J58" s="660"/>
      <c r="K58" s="661"/>
    </row>
    <row r="59" spans="1:20" ht="25.5" customHeight="1" x14ac:dyDescent="0.25">
      <c r="D59" s="664" t="s">
        <v>329</v>
      </c>
      <c r="E59" s="622"/>
      <c r="F59" s="491"/>
      <c r="G59" s="422"/>
      <c r="H59" s="426"/>
      <c r="I59" s="426"/>
      <c r="J59" s="426"/>
      <c r="K59" s="495"/>
    </row>
    <row r="60" spans="1:20" ht="29.25" customHeight="1" thickBot="1" x14ac:dyDescent="0.3">
      <c r="D60" s="654" t="s">
        <v>26</v>
      </c>
      <c r="E60" s="655"/>
      <c r="F60" s="492"/>
      <c r="G60" s="424" t="s">
        <v>25</v>
      </c>
      <c r="H60" s="656"/>
      <c r="I60" s="656"/>
      <c r="J60" s="656"/>
      <c r="K60" s="657"/>
      <c r="N60" s="343"/>
      <c r="O60" s="342"/>
    </row>
    <row r="61" spans="1:20" x14ac:dyDescent="0.25">
      <c r="D61" s="694" t="s">
        <v>365</v>
      </c>
      <c r="E61" s="695"/>
      <c r="F61" s="695"/>
      <c r="G61" s="695"/>
      <c r="H61" s="695"/>
      <c r="I61" s="695"/>
      <c r="J61" s="695"/>
      <c r="K61" s="696"/>
      <c r="N61" s="343"/>
      <c r="O61" s="342"/>
      <c r="P61" s="356"/>
      <c r="Q61" s="356"/>
    </row>
    <row r="62" spans="1:20" x14ac:dyDescent="0.25">
      <c r="D62" s="697"/>
      <c r="E62" s="698"/>
      <c r="F62" s="698"/>
      <c r="G62" s="698"/>
      <c r="H62" s="698"/>
      <c r="I62" s="698"/>
      <c r="J62" s="698"/>
      <c r="K62" s="699"/>
      <c r="N62" s="356"/>
      <c r="O62" s="356"/>
      <c r="P62" s="356"/>
      <c r="Q62" s="356"/>
    </row>
    <row r="63" spans="1:20" x14ac:dyDescent="0.25">
      <c r="D63" s="697"/>
      <c r="E63" s="698"/>
      <c r="F63" s="698"/>
      <c r="G63" s="698"/>
      <c r="H63" s="698"/>
      <c r="I63" s="698"/>
      <c r="J63" s="698"/>
      <c r="K63" s="699"/>
      <c r="N63" s="356"/>
      <c r="O63" s="356"/>
      <c r="P63" s="356"/>
      <c r="Q63" s="356"/>
    </row>
    <row r="64" spans="1:20" ht="14.4" thickBot="1" x14ac:dyDescent="0.3">
      <c r="D64" s="700"/>
      <c r="E64" s="701"/>
      <c r="F64" s="701"/>
      <c r="G64" s="701"/>
      <c r="H64" s="701"/>
      <c r="I64" s="701"/>
      <c r="J64" s="701"/>
      <c r="K64" s="702"/>
      <c r="L64" s="345"/>
      <c r="N64" s="356"/>
      <c r="O64" s="356"/>
      <c r="P64" s="356"/>
      <c r="Q64" s="356"/>
    </row>
    <row r="65" spans="3:20" ht="19.2" customHeight="1" thickBot="1" x14ac:dyDescent="0.3">
      <c r="D65" s="658" t="s">
        <v>6</v>
      </c>
      <c r="E65" s="659"/>
      <c r="F65" s="496"/>
      <c r="G65" s="425" t="s">
        <v>4</v>
      </c>
      <c r="H65" s="427"/>
      <c r="I65" s="427"/>
      <c r="J65" s="442">
        <f>'Špičkový odběr '!H19</f>
        <v>0.64290999999999998</v>
      </c>
      <c r="K65" s="428">
        <f>'Špičkový odběr '!I19</f>
        <v>0</v>
      </c>
      <c r="M65" s="352"/>
      <c r="N65" s="354"/>
      <c r="O65" s="25"/>
      <c r="P65" s="25"/>
      <c r="Q65" s="25"/>
    </row>
    <row r="66" spans="3:20" ht="13.95" customHeight="1" x14ac:dyDescent="0.25">
      <c r="D66" s="668" t="s">
        <v>327</v>
      </c>
      <c r="E66" s="669"/>
      <c r="F66" s="670"/>
      <c r="G66" s="672" t="s">
        <v>25</v>
      </c>
      <c r="H66" s="674"/>
      <c r="I66" s="674"/>
      <c r="J66" s="689">
        <f>'Špičkový odběr '!E19</f>
        <v>247.91817</v>
      </c>
      <c r="K66" s="676">
        <f>'Špičkový odběr '!K19</f>
        <v>0</v>
      </c>
      <c r="L66" s="346"/>
      <c r="N66" s="354"/>
      <c r="O66" s="355"/>
    </row>
    <row r="67" spans="3:20" ht="15.6" customHeight="1" thickBot="1" x14ac:dyDescent="0.3">
      <c r="D67" s="353" t="s">
        <v>335</v>
      </c>
      <c r="E67" s="360"/>
      <c r="F67" s="671"/>
      <c r="G67" s="673"/>
      <c r="H67" s="675"/>
      <c r="I67" s="675"/>
      <c r="J67" s="690"/>
      <c r="K67" s="677"/>
      <c r="L67" s="346"/>
      <c r="N67" s="354"/>
    </row>
    <row r="68" spans="3:20" ht="15.6" customHeight="1" thickBot="1" x14ac:dyDescent="0.3">
      <c r="D68" s="665" t="s">
        <v>325</v>
      </c>
      <c r="E68" s="666"/>
      <c r="F68" s="666"/>
      <c r="G68" s="666"/>
      <c r="H68" s="666"/>
      <c r="I68" s="666"/>
      <c r="J68" s="667"/>
      <c r="K68" s="443">
        <f>SUM(K65:K67)</f>
        <v>0</v>
      </c>
      <c r="M68" s="352"/>
      <c r="N68" s="20"/>
    </row>
    <row r="69" spans="3:20" ht="19.5" customHeight="1" thickBot="1" x14ac:dyDescent="0.3">
      <c r="D69" s="662" t="s">
        <v>41</v>
      </c>
      <c r="E69" s="663"/>
      <c r="F69" s="362" t="str">
        <f>IF(F65=0,"",F65)</f>
        <v/>
      </c>
      <c r="G69" s="32" t="s">
        <v>4</v>
      </c>
      <c r="H69" s="33"/>
      <c r="I69" s="33"/>
      <c r="J69" s="34">
        <f>'Špičkový odběr '!D6</f>
        <v>1.83E-3</v>
      </c>
      <c r="K69" s="35">
        <f>'Špičkový odběr '!J18</f>
        <v>0</v>
      </c>
      <c r="M69" s="352"/>
    </row>
    <row r="70" spans="3:20" s="27" customFormat="1" ht="21" customHeight="1" thickTop="1" thickBot="1" x14ac:dyDescent="0.3">
      <c r="C70" s="548"/>
      <c r="D70" s="648" t="s">
        <v>322</v>
      </c>
      <c r="E70" s="649"/>
      <c r="F70" s="649"/>
      <c r="G70" s="649"/>
      <c r="H70" s="649"/>
      <c r="I70" s="649"/>
      <c r="J70" s="650"/>
      <c r="K70" s="455" t="str">
        <f>IF(F65=0,"",SUM(K68:K69))</f>
        <v/>
      </c>
      <c r="L70" s="350"/>
      <c r="M70" s="352"/>
      <c r="N70" s="15"/>
      <c r="O70" s="6"/>
      <c r="P70" s="6"/>
      <c r="Q70" s="6"/>
      <c r="R70" s="6"/>
      <c r="S70" s="6"/>
      <c r="T70" s="6"/>
    </row>
    <row r="72" spans="3:20" x14ac:dyDescent="0.25">
      <c r="D72" s="5" t="s">
        <v>328</v>
      </c>
      <c r="F72" s="435" t="str">
        <f>IF(OR(K66=0,K66=""),"nedošlo k nadlimitnímu překročení rezervované kapacity",'Špičkový odběr '!K10)</f>
        <v>nedošlo k nadlimitnímu překročení rezervované kapacity</v>
      </c>
      <c r="J72" s="22"/>
      <c r="K72" s="22"/>
      <c r="L72" s="23"/>
      <c r="M72" s="22"/>
      <c r="N72" s="22"/>
    </row>
    <row r="74" spans="3:20" x14ac:dyDescent="0.25">
      <c r="D74" s="5" t="s">
        <v>417</v>
      </c>
    </row>
    <row r="75" spans="3:20" x14ac:dyDescent="0.25">
      <c r="D75" s="5" t="s">
        <v>18</v>
      </c>
    </row>
  </sheetData>
  <sheetProtection algorithmName="SHA-512" hashValue="KQvgzH3qYoX/lVD69d4eDCoKRQ/DLeAWC3720YDczhIT6z50go15t4eyxaeOyUba86R7KbnZMy41yTqomNXmcg==" saltValue="mRMn0rcGwuQfc3kMXJpkzg==" spinCount="100000" sheet="1" formatCells="0" formatColumns="0" formatRows="0" selectLockedCells="1"/>
  <mergeCells count="91">
    <mergeCell ref="C29:C31"/>
    <mergeCell ref="C44:C46"/>
    <mergeCell ref="C41:C43"/>
    <mergeCell ref="C38:C40"/>
    <mergeCell ref="C35:C37"/>
    <mergeCell ref="C32:C34"/>
    <mergeCell ref="A11:B11"/>
    <mergeCell ref="D24:E24"/>
    <mergeCell ref="D25:E25"/>
    <mergeCell ref="D26:E26"/>
    <mergeCell ref="D27:E27"/>
    <mergeCell ref="D14:E14"/>
    <mergeCell ref="D18:E18"/>
    <mergeCell ref="D19:E19"/>
    <mergeCell ref="D20:E20"/>
    <mergeCell ref="D21:E21"/>
    <mergeCell ref="D16:E16"/>
    <mergeCell ref="D15:E15"/>
    <mergeCell ref="D17:E17"/>
    <mergeCell ref="D28:E28"/>
    <mergeCell ref="F5:I7"/>
    <mergeCell ref="J66:J67"/>
    <mergeCell ref="L47:N47"/>
    <mergeCell ref="L44:N46"/>
    <mergeCell ref="J41:J43"/>
    <mergeCell ref="I41:I43"/>
    <mergeCell ref="I32:I34"/>
    <mergeCell ref="J32:J34"/>
    <mergeCell ref="K32:K34"/>
    <mergeCell ref="K41:K43"/>
    <mergeCell ref="K35:K37"/>
    <mergeCell ref="K38:K40"/>
    <mergeCell ref="J38:J40"/>
    <mergeCell ref="I35:I37"/>
    <mergeCell ref="D61:K64"/>
    <mergeCell ref="I44:I46"/>
    <mergeCell ref="D49:J49"/>
    <mergeCell ref="D48:E48"/>
    <mergeCell ref="K44:K46"/>
    <mergeCell ref="D47:J47"/>
    <mergeCell ref="J44:J46"/>
    <mergeCell ref="D44:E44"/>
    <mergeCell ref="F44:F46"/>
    <mergeCell ref="G44:G46"/>
    <mergeCell ref="H44:H46"/>
    <mergeCell ref="D70:J70"/>
    <mergeCell ref="D57:E57"/>
    <mergeCell ref="D58:E58"/>
    <mergeCell ref="D60:E60"/>
    <mergeCell ref="H60:K60"/>
    <mergeCell ref="D65:E65"/>
    <mergeCell ref="H58:K58"/>
    <mergeCell ref="D69:E69"/>
    <mergeCell ref="D59:E59"/>
    <mergeCell ref="D68:J68"/>
    <mergeCell ref="D66:E66"/>
    <mergeCell ref="F66:F67"/>
    <mergeCell ref="G66:G67"/>
    <mergeCell ref="H66:H67"/>
    <mergeCell ref="I66:I67"/>
    <mergeCell ref="K66:K67"/>
    <mergeCell ref="J29:J31"/>
    <mergeCell ref="H32:H34"/>
    <mergeCell ref="D32:E32"/>
    <mergeCell ref="F35:F37"/>
    <mergeCell ref="D41:E41"/>
    <mergeCell ref="H41:H43"/>
    <mergeCell ref="G41:G43"/>
    <mergeCell ref="H38:H40"/>
    <mergeCell ref="D38:E38"/>
    <mergeCell ref="F38:F40"/>
    <mergeCell ref="F41:F43"/>
    <mergeCell ref="G38:G40"/>
    <mergeCell ref="J35:J37"/>
    <mergeCell ref="I38:I40"/>
    <mergeCell ref="F9:I11"/>
    <mergeCell ref="K9:L9"/>
    <mergeCell ref="L16:N18"/>
    <mergeCell ref="H35:H37"/>
    <mergeCell ref="D22:E22"/>
    <mergeCell ref="D23:E23"/>
    <mergeCell ref="D29:E29"/>
    <mergeCell ref="F29:F31"/>
    <mergeCell ref="G35:G37"/>
    <mergeCell ref="G32:G34"/>
    <mergeCell ref="D35:E35"/>
    <mergeCell ref="G29:G31"/>
    <mergeCell ref="F32:F34"/>
    <mergeCell ref="K29:K31"/>
    <mergeCell ref="H29:H31"/>
    <mergeCell ref="I29:I31"/>
  </mergeCells>
  <phoneticPr fontId="81" type="noConversion"/>
  <dataValidations xWindow="1071" yWindow="702" count="1">
    <dataValidation type="custom" allowBlank="1" showErrorMessage="1" errorTitle="Příliš mnoho desetinných míst!" error="Maximální počet desetinných míst, které můžete zadat je 2!" sqref="F58:F60" xr:uid="{09DCD299-7D1C-46E0-82B7-75E01ED97AFE}">
      <formula1>MOD(F58*100,1)=0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F51:F52"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6</xdr:col>
                    <xdr:colOff>678180</xdr:colOff>
                    <xdr:row>60</xdr:row>
                    <xdr:rowOff>45720</xdr:rowOff>
                  </from>
                  <to>
                    <xdr:col>9</xdr:col>
                    <xdr:colOff>22860</xdr:colOff>
                    <xdr:row>63</xdr:row>
                    <xdr:rowOff>137160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7</xdr:col>
                    <xdr:colOff>251460</xdr:colOff>
                    <xdr:row>60</xdr:row>
                    <xdr:rowOff>99060</xdr:rowOff>
                  </from>
                  <to>
                    <xdr:col>8</xdr:col>
                    <xdr:colOff>563880</xdr:colOff>
                    <xdr:row>61</xdr:row>
                    <xdr:rowOff>160020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7</xdr:col>
                    <xdr:colOff>236220</xdr:colOff>
                    <xdr:row>61</xdr:row>
                    <xdr:rowOff>152400</xdr:rowOff>
                  </from>
                  <to>
                    <xdr:col>8</xdr:col>
                    <xdr:colOff>579120</xdr:colOff>
                    <xdr:row>63</xdr:row>
                    <xdr:rowOff>22860</xdr:rowOff>
                  </to>
                </anchor>
              </controlPr>
            </control>
          </mc:Choice>
        </mc:AlternateContent>
        <mc:AlternateContent xmlns:mc="http://schemas.openxmlformats.org/markup-compatibility/2006">
          <mc:Choice Requires="x14">
            <control shapeId="6186" r:id="rId8" name="Drop Down 42">
              <controlPr locked="0" defaultSize="0" autoLine="0" autoPict="0">
                <anchor moveWithCells="1">
                  <from>
                    <xdr:col>3</xdr:col>
                    <xdr:colOff>2811780</xdr:colOff>
                    <xdr:row>2</xdr:row>
                    <xdr:rowOff>60960</xdr:rowOff>
                  </from>
                  <to>
                    <xdr:col>4</xdr:col>
                    <xdr:colOff>845820</xdr:colOff>
                    <xdr:row>3</xdr:row>
                    <xdr:rowOff>0</xdr:rowOff>
                  </to>
                </anchor>
              </controlPr>
            </control>
          </mc:Choice>
        </mc:AlternateContent>
        <mc:AlternateContent xmlns:mc="http://schemas.openxmlformats.org/markup-compatibility/2006">
          <mc:Choice Requires="x14">
            <control shapeId="6187" r:id="rId9" name="Drop Down 43">
              <controlPr locked="0" defaultSize="0" autoLine="0" autoPict="0">
                <anchor moveWithCells="1">
                  <from>
                    <xdr:col>3</xdr:col>
                    <xdr:colOff>2811780</xdr:colOff>
                    <xdr:row>8</xdr:row>
                    <xdr:rowOff>45720</xdr:rowOff>
                  </from>
                  <to>
                    <xdr:col>4</xdr:col>
                    <xdr:colOff>845820</xdr:colOff>
                    <xdr:row>8</xdr:row>
                    <xdr:rowOff>251460</xdr:rowOff>
                  </to>
                </anchor>
              </controlPr>
            </control>
          </mc:Choice>
        </mc:AlternateContent>
        <mc:AlternateContent xmlns:mc="http://schemas.openxmlformats.org/markup-compatibility/2006">
          <mc:Choice Requires="x14">
            <control shapeId="6190" r:id="rId10" name="souc_spot_tlac3">
              <controlPr locked="0" defaultSize="0" autoLine="0" autoPict="0" altText="">
                <anchor moveWithCells="1">
                  <from>
                    <xdr:col>9</xdr:col>
                    <xdr:colOff>7620</xdr:colOff>
                    <xdr:row>8</xdr:row>
                    <xdr:rowOff>76200</xdr:rowOff>
                  </from>
                  <to>
                    <xdr:col>10</xdr:col>
                    <xdr:colOff>563880</xdr:colOff>
                    <xdr:row>9</xdr:row>
                    <xdr:rowOff>7620</xdr:rowOff>
                  </to>
                </anchor>
              </controlPr>
            </control>
          </mc:Choice>
        </mc:AlternateContent>
        <mc:AlternateContent xmlns:mc="http://schemas.openxmlformats.org/markup-compatibility/2006">
          <mc:Choice Requires="x14">
            <control shapeId="6207" r:id="rId11" name="Drop Down 63">
              <controlPr locked="0" defaultSize="0" autoLine="0" autoPict="0">
                <anchor moveWithCells="1">
                  <from>
                    <xdr:col>3</xdr:col>
                    <xdr:colOff>2811780</xdr:colOff>
                    <xdr:row>10</xdr:row>
                    <xdr:rowOff>38100</xdr:rowOff>
                  </from>
                  <to>
                    <xdr:col>4</xdr:col>
                    <xdr:colOff>845820</xdr:colOff>
                    <xdr:row>10</xdr:row>
                    <xdr:rowOff>243840</xdr:rowOff>
                  </to>
                </anchor>
              </controlPr>
            </control>
          </mc:Choice>
        </mc:AlternateContent>
        <mc:AlternateContent xmlns:mc="http://schemas.openxmlformats.org/markup-compatibility/2006">
          <mc:Choice Requires="x14">
            <control shapeId="6211" r:id="rId12" name="Drop Down 67">
              <controlPr locked="0" defaultSize="0" autoLine="0" autoPict="0" altText="">
                <anchor moveWithCells="1">
                  <from>
                    <xdr:col>9</xdr:col>
                    <xdr:colOff>0</xdr:colOff>
                    <xdr:row>2</xdr:row>
                    <xdr:rowOff>45720</xdr:rowOff>
                  </from>
                  <to>
                    <xdr:col>10</xdr:col>
                    <xdr:colOff>563880</xdr:colOff>
                    <xdr:row>2</xdr:row>
                    <xdr:rowOff>251460</xdr:rowOff>
                  </to>
                </anchor>
              </controlPr>
            </control>
          </mc:Choice>
        </mc:AlternateContent>
        <mc:AlternateContent xmlns:mc="http://schemas.openxmlformats.org/markup-compatibility/2006">
          <mc:Choice Requires="x14">
            <control shapeId="6213" r:id="rId13" name="Drop Down 69">
              <controlPr locked="0" defaultSize="0" autoLine="0" autoPict="0">
                <anchor moveWithCells="1">
                  <from>
                    <xdr:col>3</xdr:col>
                    <xdr:colOff>2811780</xdr:colOff>
                    <xdr:row>4</xdr:row>
                    <xdr:rowOff>45720</xdr:rowOff>
                  </from>
                  <to>
                    <xdr:col>4</xdr:col>
                    <xdr:colOff>845820</xdr:colOff>
                    <xdr:row>4</xdr:row>
                    <xdr:rowOff>251460</xdr:rowOff>
                  </to>
                </anchor>
              </controlPr>
            </control>
          </mc:Choice>
        </mc:AlternateContent>
        <mc:AlternateContent xmlns:mc="http://schemas.openxmlformats.org/markup-compatibility/2006">
          <mc:Choice Requires="x14">
            <control shapeId="6214" r:id="rId14" name="Drop Down 70">
              <controlPr locked="0" defaultSize="0" autoLine="0" autoPict="0">
                <anchor moveWithCells="1">
                  <from>
                    <xdr:col>3</xdr:col>
                    <xdr:colOff>2811780</xdr:colOff>
                    <xdr:row>6</xdr:row>
                    <xdr:rowOff>45720</xdr:rowOff>
                  </from>
                  <to>
                    <xdr:col>4</xdr:col>
                    <xdr:colOff>845820</xdr:colOff>
                    <xdr:row>6</xdr:row>
                    <xdr:rowOff>251460</xdr:rowOff>
                  </to>
                </anchor>
              </controlPr>
            </control>
          </mc:Choice>
        </mc:AlternateContent>
        <mc:AlternateContent xmlns:mc="http://schemas.openxmlformats.org/markup-compatibility/2006">
          <mc:Choice Requires="x14">
            <control shapeId="6215" r:id="rId15" name="Nadlimit_tlac2">
              <controlPr locked="0" defaultSize="0" autoLine="0" autoPict="0">
                <anchor moveWithCells="1">
                  <from>
                    <xdr:col>8</xdr:col>
                    <xdr:colOff>800100</xdr:colOff>
                    <xdr:row>4</xdr:row>
                    <xdr:rowOff>129540</xdr:rowOff>
                  </from>
                  <to>
                    <xdr:col>10</xdr:col>
                    <xdr:colOff>556260</xdr:colOff>
                    <xdr:row>5</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11">
        <x14:dataValidation type="list" allowBlank="1" showInputMessage="1" showErrorMessage="1" xr:uid="{4DF1D5A0-BF90-4030-980D-6F13B743C9C6}">
          <x14:formula1>
            <xm:f>'Klasik, CNG, M3R, výrobce'!$E$76:$E$77</xm:f>
          </x14:formula1>
          <xm:sqref>E31</xm:sqref>
        </x14:dataValidation>
        <x14:dataValidation type="list" allowBlank="1" showInputMessage="1" showErrorMessage="1" xr:uid="{F1B7CDD6-98C1-4E99-9A3E-73C719DEC9B5}">
          <x14:formula1>
            <xm:f>'Klasik, CNG, M3R, výrobce'!$F$76:$F$77</xm:f>
          </x14:formula1>
          <xm:sqref>E34</xm:sqref>
        </x14:dataValidation>
        <x14:dataValidation type="list" allowBlank="1" showInputMessage="1" showErrorMessage="1" xr:uid="{C868FC75-6B45-47E5-842C-D8AFD3C9DD17}">
          <x14:formula1>
            <xm:f>'Klasik, CNG, M3R, výrobce'!$G$76:$G$77</xm:f>
          </x14:formula1>
          <xm:sqref>E37</xm:sqref>
        </x14:dataValidation>
        <x14:dataValidation type="list" allowBlank="1" showInputMessage="1" showErrorMessage="1" xr:uid="{D20E5690-93E5-4F36-A588-95C98515656D}">
          <x14:formula1>
            <xm:f>'Klasik, CNG, M3R, výrobce'!$I$76:$I$77</xm:f>
          </x14:formula1>
          <xm:sqref>E43</xm:sqref>
        </x14:dataValidation>
        <x14:dataValidation type="list" allowBlank="1" showInputMessage="1" showErrorMessage="1" xr:uid="{EFA8A962-9E8A-47A3-8503-184F8976A170}">
          <x14:formula1>
            <xm:f>'Klasik, CNG, M3R, výrobce'!$H$76:$H$77</xm:f>
          </x14:formula1>
          <xm:sqref>E40</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3A97525C-48B7-4C4B-91CA-D56334E0D2C2}">
          <x14:formula1>
            <xm:f>'Klasik, CNG, M3R, výrobce'!$E$79</xm:f>
          </x14:formula1>
          <x14:formula2>
            <xm:f>'Klasik, CNG, M3R, výrobce'!$E$80</xm:f>
          </x14:formula2>
          <xm:sqref>D31</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94A4EAF2-83F7-4EB1-B21D-E911F5F5D921}">
          <x14:formula1>
            <xm:f>'Klasik, CNG, M3R, výrobce'!$I$79</xm:f>
          </x14:formula1>
          <x14:formula2>
            <xm:f>'Klasik, CNG, M3R, výrobce'!$I$80</xm:f>
          </x14:formula2>
          <xm:sqref>D43</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AB465005-E0B9-4AE9-8802-849D1D88C85E}">
          <x14:formula1>
            <xm:f>'Klasik, CNG, M3R, výrobce'!$G$79</xm:f>
          </x14:formula1>
          <x14:formula2>
            <xm:f>'Klasik, CNG, M3R, výrobce'!$G$80</xm:f>
          </x14:formula2>
          <xm:sqref>D37</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89EE2B26-7093-4B0F-81D9-7EBF443E173C}">
          <x14:formula1>
            <xm:f>'Klasik, CNG, M3R, výrobce'!$H$79</xm:f>
          </x14:formula1>
          <x14:formula2>
            <xm:f>'Klasik, CNG, M3R, výrobce'!$H$80</xm:f>
          </x14:formula2>
          <xm:sqref>D40</xm:sqref>
        </x14:dataValidation>
        <x14:dataValidation type="date" allowBlank="1" showInputMessage="1" showErrorMessage="1" xr:uid="{55EF8192-C1AC-4ADC-B7BD-10217AEDEF7E}">
          <x14:formula1>
            <xm:f>VLOOKUP('ovládací prvky'!$F$13,'Klasik, CNG, M3R, výrobce'!$D$60:$K$71,8,FALSE)</xm:f>
          </x14:formula1>
          <x14:formula2>
            <xm:f>VLOOKUP('ovládací prvky'!$F$13,'Klasik, CNG, M3R, výrobce'!$D$60:$L$71,9,FALSE)</xm:f>
          </x14:formula2>
          <xm:sqref>D46</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59BE2F15-8E99-4A05-B429-77F2017C585B}">
          <x14:formula1>
            <xm:f>'Klasik, CNG, M3R, výrobce'!$F$79</xm:f>
          </x14:formula1>
          <x14:formula2>
            <xm:f>'Klasik, CNG, M3R, výrobce'!$F$80</xm:f>
          </x14:formula2>
          <xm:sqref>D34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abSelected="1" topLeftCell="A6" workbookViewId="0">
      <pane xSplit="7" ySplit="3" topLeftCell="H9" activePane="bottomRight" state="frozen"/>
      <selection activeCell="G69" sqref="G69"/>
      <selection pane="topRight" activeCell="G69" sqref="G69"/>
      <selection pane="bottomLeft" activeCell="G69" sqref="G69"/>
      <selection pane="bottomRight" activeCell="M11" sqref="M11"/>
    </sheetView>
  </sheetViews>
  <sheetFormatPr defaultColWidth="8.88671875" defaultRowHeight="14.4" zeroHeight="1" x14ac:dyDescent="0.3"/>
  <cols>
    <col min="1" max="5" width="9.109375" style="446" hidden="1" customWidth="1"/>
    <col min="6" max="6" width="12" style="446" customWidth="1"/>
    <col min="7" max="7" width="11.44140625" style="446" customWidth="1"/>
    <col min="8" max="10" width="11.33203125" style="446" customWidth="1"/>
    <col min="11" max="11" width="11.5546875" style="446" customWidth="1"/>
    <col min="12" max="13" width="8.88671875" style="446" customWidth="1"/>
    <col min="14" max="16" width="12.6640625" style="446" hidden="1" customWidth="1"/>
    <col min="17" max="19" width="12.6640625" style="446" customWidth="1"/>
    <col min="20" max="16384" width="8.88671875" style="446"/>
  </cols>
  <sheetData>
    <row r="1" spans="1:19" hidden="1" x14ac:dyDescent="0.3">
      <c r="A1" s="444" t="s">
        <v>47</v>
      </c>
      <c r="B1" s="445" t="s">
        <v>362</v>
      </c>
      <c r="F1" s="456" t="s">
        <v>290</v>
      </c>
    </row>
    <row r="3" spans="1:19" ht="18" hidden="1" x14ac:dyDescent="0.35">
      <c r="F3" s="707" t="s">
        <v>291</v>
      </c>
      <c r="G3" s="707"/>
      <c r="H3" s="707"/>
      <c r="I3" s="707"/>
      <c r="J3" s="707"/>
      <c r="K3" s="707"/>
      <c r="N3" s="707" t="s">
        <v>292</v>
      </c>
      <c r="O3" s="707"/>
      <c r="P3" s="707"/>
      <c r="Q3" s="707"/>
      <c r="R3" s="457"/>
      <c r="S3" s="457"/>
    </row>
    <row r="5" spans="1:19" hidden="1" x14ac:dyDescent="0.3">
      <c r="F5" s="458" t="s">
        <v>293</v>
      </c>
      <c r="G5" s="459"/>
      <c r="H5" s="459"/>
      <c r="I5" s="459"/>
      <c r="J5" s="459"/>
      <c r="N5" s="458" t="s">
        <v>294</v>
      </c>
    </row>
    <row r="6" spans="1:19" x14ac:dyDescent="0.3">
      <c r="F6" s="458" t="s">
        <v>371</v>
      </c>
      <c r="G6" s="460"/>
      <c r="H6" s="460"/>
      <c r="I6" s="460"/>
      <c r="J6" s="460"/>
    </row>
    <row r="7" spans="1:19" ht="43.2" x14ac:dyDescent="0.3">
      <c r="A7" s="447" t="s">
        <v>174</v>
      </c>
      <c r="B7" s="448">
        <f>'Klasik, CNG, M3R, výrobce'!D43-1</f>
        <v>44926</v>
      </c>
      <c r="C7" s="447"/>
      <c r="G7" s="459"/>
      <c r="H7" s="460"/>
      <c r="I7" s="460"/>
      <c r="J7" s="460"/>
    </row>
    <row r="8" spans="1:19" ht="49.2" thickBot="1" x14ac:dyDescent="0.35">
      <c r="A8" s="449" t="s">
        <v>175</v>
      </c>
      <c r="B8" s="450" t="s">
        <v>176</v>
      </c>
      <c r="C8" s="450" t="s">
        <v>177</v>
      </c>
      <c r="F8" s="461" t="s">
        <v>295</v>
      </c>
      <c r="G8" s="461" t="s">
        <v>296</v>
      </c>
      <c r="H8" s="461" t="s">
        <v>370</v>
      </c>
      <c r="I8" s="461" t="s">
        <v>297</v>
      </c>
      <c r="J8" s="461" t="s">
        <v>298</v>
      </c>
      <c r="N8" s="462" t="s">
        <v>295</v>
      </c>
      <c r="O8" s="463" t="s">
        <v>296</v>
      </c>
      <c r="P8" s="464" t="s">
        <v>299</v>
      </c>
      <c r="Q8" s="465"/>
    </row>
    <row r="9" spans="1:19" x14ac:dyDescent="0.3">
      <c r="A9" s="449">
        <v>1</v>
      </c>
      <c r="B9" s="451" t="s">
        <v>57</v>
      </c>
      <c r="C9" s="452">
        <f>DAY(EOMONTH(DATE(YEAR(B7),$A9,1),0))</f>
        <v>31</v>
      </c>
      <c r="F9" s="466">
        <f>G9-$C9+1</f>
        <v>44562</v>
      </c>
      <c r="G9" s="466">
        <f>EOMONTH(DATE(YEAR($B$7),$A9,1),0)</f>
        <v>44592</v>
      </c>
      <c r="H9" s="453"/>
      <c r="I9" s="468">
        <f>C9</f>
        <v>31</v>
      </c>
      <c r="J9" s="468">
        <f>(H9/21)*(31/I9)</f>
        <v>0</v>
      </c>
      <c r="N9" s="469">
        <f>F9</f>
        <v>44562</v>
      </c>
      <c r="O9" s="469">
        <f>G9</f>
        <v>44592</v>
      </c>
      <c r="P9" s="467">
        <v>7215</v>
      </c>
    </row>
    <row r="10" spans="1:19" x14ac:dyDescent="0.3">
      <c r="A10" s="449">
        <v>2</v>
      </c>
      <c r="B10" s="451" t="s">
        <v>59</v>
      </c>
      <c r="C10" s="452">
        <f>DAY(EOMONTH(DATE(YEAR(B7),$A10,1),0))</f>
        <v>28</v>
      </c>
      <c r="F10" s="466">
        <f t="shared" ref="F10:F20" si="0">G10-$C10+1</f>
        <v>44593</v>
      </c>
      <c r="G10" s="466">
        <f t="shared" ref="G10:G20" si="1">EOMONTH(DATE(YEAR($B$7),$A10,1),0)</f>
        <v>44620</v>
      </c>
      <c r="H10" s="453"/>
      <c r="I10" s="468">
        <f t="shared" ref="I10:I20" si="2">C10</f>
        <v>28</v>
      </c>
      <c r="J10" s="468">
        <f t="shared" ref="J10:J20" si="3">(H10/21)*(31/I10)</f>
        <v>0</v>
      </c>
      <c r="N10" s="469">
        <f t="shared" ref="N10:O20" si="4">F10</f>
        <v>44593</v>
      </c>
      <c r="O10" s="469">
        <f t="shared" si="4"/>
        <v>44620</v>
      </c>
      <c r="P10" s="467">
        <v>10333</v>
      </c>
    </row>
    <row r="11" spans="1:19" x14ac:dyDescent="0.3">
      <c r="A11" s="449">
        <v>3</v>
      </c>
      <c r="B11" s="451" t="s">
        <v>61</v>
      </c>
      <c r="C11" s="452">
        <f>DAY(EOMONTH(DATE(YEAR(B7),$A11,1),0))</f>
        <v>31</v>
      </c>
      <c r="F11" s="466">
        <f t="shared" si="0"/>
        <v>44621</v>
      </c>
      <c r="G11" s="466">
        <f t="shared" si="1"/>
        <v>44651</v>
      </c>
      <c r="H11" s="453"/>
      <c r="I11" s="468">
        <f t="shared" si="2"/>
        <v>31</v>
      </c>
      <c r="J11" s="468">
        <f t="shared" si="3"/>
        <v>0</v>
      </c>
      <c r="N11" s="469">
        <f t="shared" si="4"/>
        <v>44621</v>
      </c>
      <c r="O11" s="469">
        <f t="shared" si="4"/>
        <v>44651</v>
      </c>
      <c r="P11" s="467">
        <v>8112</v>
      </c>
    </row>
    <row r="12" spans="1:19" x14ac:dyDescent="0.3">
      <c r="A12" s="449">
        <v>4</v>
      </c>
      <c r="B12" s="451" t="s">
        <v>67</v>
      </c>
      <c r="C12" s="452">
        <f>DAY(EOMONTH(DATE(YEAR(B7),$A12,1),0))</f>
        <v>30</v>
      </c>
      <c r="F12" s="466">
        <f t="shared" si="0"/>
        <v>44652</v>
      </c>
      <c r="G12" s="466">
        <f t="shared" si="1"/>
        <v>44681</v>
      </c>
      <c r="H12" s="453"/>
      <c r="I12" s="468">
        <f t="shared" si="2"/>
        <v>30</v>
      </c>
      <c r="J12" s="468">
        <f t="shared" si="3"/>
        <v>0</v>
      </c>
      <c r="N12" s="469">
        <f t="shared" si="4"/>
        <v>44652</v>
      </c>
      <c r="O12" s="469">
        <f t="shared" si="4"/>
        <v>44681</v>
      </c>
      <c r="P12" s="467">
        <v>1621</v>
      </c>
    </row>
    <row r="13" spans="1:19" x14ac:dyDescent="0.3">
      <c r="A13" s="449">
        <v>5</v>
      </c>
      <c r="B13" s="451" t="s">
        <v>71</v>
      </c>
      <c r="C13" s="452">
        <f>DAY(EOMONTH(DATE(YEAR(B7),$A13,1),0))</f>
        <v>31</v>
      </c>
      <c r="F13" s="466">
        <f t="shared" si="0"/>
        <v>44682</v>
      </c>
      <c r="G13" s="466">
        <f t="shared" si="1"/>
        <v>44712</v>
      </c>
      <c r="H13" s="453"/>
      <c r="I13" s="468">
        <f t="shared" si="2"/>
        <v>31</v>
      </c>
      <c r="J13" s="468">
        <f t="shared" si="3"/>
        <v>0</v>
      </c>
      <c r="N13" s="469">
        <f t="shared" si="4"/>
        <v>44682</v>
      </c>
      <c r="O13" s="469">
        <f t="shared" si="4"/>
        <v>44712</v>
      </c>
      <c r="P13" s="467">
        <v>576</v>
      </c>
    </row>
    <row r="14" spans="1:19" x14ac:dyDescent="0.3">
      <c r="A14" s="449">
        <v>6</v>
      </c>
      <c r="B14" s="451" t="s">
        <v>91</v>
      </c>
      <c r="C14" s="452">
        <f>DAY(EOMONTH(DATE(YEAR(B7),$A14,1),0))</f>
        <v>30</v>
      </c>
      <c r="F14" s="466">
        <f t="shared" si="0"/>
        <v>44713</v>
      </c>
      <c r="G14" s="466">
        <f t="shared" si="1"/>
        <v>44742</v>
      </c>
      <c r="H14" s="453"/>
      <c r="I14" s="468">
        <f t="shared" si="2"/>
        <v>30</v>
      </c>
      <c r="J14" s="468">
        <f t="shared" si="3"/>
        <v>0</v>
      </c>
      <c r="N14" s="469">
        <f t="shared" si="4"/>
        <v>44713</v>
      </c>
      <c r="O14" s="469">
        <f t="shared" si="4"/>
        <v>44742</v>
      </c>
      <c r="P14" s="467">
        <v>550</v>
      </c>
    </row>
    <row r="15" spans="1:19" x14ac:dyDescent="0.3">
      <c r="A15" s="449">
        <v>7</v>
      </c>
      <c r="B15" s="451" t="s">
        <v>94</v>
      </c>
      <c r="C15" s="452">
        <f>DAY(EOMONTH(DATE(YEAR(B7),$A15,1),0))</f>
        <v>31</v>
      </c>
      <c r="F15" s="466">
        <f t="shared" si="0"/>
        <v>44743</v>
      </c>
      <c r="G15" s="466">
        <f t="shared" si="1"/>
        <v>44773</v>
      </c>
      <c r="H15" s="453"/>
      <c r="I15" s="468">
        <f t="shared" si="2"/>
        <v>31</v>
      </c>
      <c r="J15" s="468">
        <f t="shared" si="3"/>
        <v>0</v>
      </c>
      <c r="N15" s="469">
        <f t="shared" si="4"/>
        <v>44743</v>
      </c>
      <c r="O15" s="469">
        <f t="shared" si="4"/>
        <v>44773</v>
      </c>
      <c r="P15" s="467">
        <v>415</v>
      </c>
    </row>
    <row r="16" spans="1:19" x14ac:dyDescent="0.3">
      <c r="A16" s="449">
        <v>8</v>
      </c>
      <c r="B16" s="451" t="s">
        <v>97</v>
      </c>
      <c r="C16" s="452">
        <f>DAY(EOMONTH(DATE(YEAR(B7),$A16,1),0))</f>
        <v>31</v>
      </c>
      <c r="F16" s="466">
        <f t="shared" si="0"/>
        <v>44774</v>
      </c>
      <c r="G16" s="466">
        <f t="shared" si="1"/>
        <v>44804</v>
      </c>
      <c r="H16" s="453"/>
      <c r="I16" s="468">
        <f t="shared" si="2"/>
        <v>31</v>
      </c>
      <c r="J16" s="468">
        <f t="shared" si="3"/>
        <v>0</v>
      </c>
      <c r="N16" s="469">
        <f t="shared" si="4"/>
        <v>44774</v>
      </c>
      <c r="O16" s="469">
        <f t="shared" si="4"/>
        <v>44804</v>
      </c>
      <c r="P16" s="467">
        <v>363</v>
      </c>
    </row>
    <row r="17" spans="1:16" x14ac:dyDescent="0.3">
      <c r="A17" s="449">
        <v>9</v>
      </c>
      <c r="B17" s="451" t="s">
        <v>100</v>
      </c>
      <c r="C17" s="452">
        <f>DAY(EOMONTH(DATE(YEAR(B7),$A17,1),0))</f>
        <v>30</v>
      </c>
      <c r="F17" s="466">
        <f t="shared" si="0"/>
        <v>44805</v>
      </c>
      <c r="G17" s="466">
        <f t="shared" si="1"/>
        <v>44834</v>
      </c>
      <c r="H17" s="453"/>
      <c r="I17" s="468">
        <f t="shared" si="2"/>
        <v>30</v>
      </c>
      <c r="J17" s="468">
        <f t="shared" si="3"/>
        <v>0</v>
      </c>
      <c r="N17" s="469">
        <f t="shared" si="4"/>
        <v>44805</v>
      </c>
      <c r="O17" s="469">
        <f t="shared" si="4"/>
        <v>44834</v>
      </c>
      <c r="P17" s="467">
        <v>673</v>
      </c>
    </row>
    <row r="18" spans="1:16" x14ac:dyDescent="0.3">
      <c r="A18" s="449">
        <v>10</v>
      </c>
      <c r="B18" s="451" t="s">
        <v>103</v>
      </c>
      <c r="C18" s="452">
        <f>DAY(EOMONTH(DATE(YEAR(B7),$A18,1),0))</f>
        <v>31</v>
      </c>
      <c r="F18" s="466">
        <f t="shared" si="0"/>
        <v>44835</v>
      </c>
      <c r="G18" s="466">
        <f t="shared" si="1"/>
        <v>44865</v>
      </c>
      <c r="H18" s="453"/>
      <c r="I18" s="468">
        <f t="shared" si="2"/>
        <v>31</v>
      </c>
      <c r="J18" s="468">
        <f t="shared" si="3"/>
        <v>0</v>
      </c>
      <c r="N18" s="469">
        <f t="shared" si="4"/>
        <v>44835</v>
      </c>
      <c r="O18" s="469">
        <f t="shared" si="4"/>
        <v>44865</v>
      </c>
      <c r="P18" s="467">
        <v>2081</v>
      </c>
    </row>
    <row r="19" spans="1:16" x14ac:dyDescent="0.3">
      <c r="A19" s="449">
        <v>11</v>
      </c>
      <c r="B19" s="451" t="s">
        <v>106</v>
      </c>
      <c r="C19" s="452">
        <f>DAY(EOMONTH(DATE(YEAR(B7),$A19,1),0))</f>
        <v>30</v>
      </c>
      <c r="F19" s="466">
        <f t="shared" si="0"/>
        <v>44866</v>
      </c>
      <c r="G19" s="466">
        <f t="shared" si="1"/>
        <v>44895</v>
      </c>
      <c r="H19" s="453"/>
      <c r="I19" s="468">
        <f t="shared" si="2"/>
        <v>30</v>
      </c>
      <c r="J19" s="468">
        <f t="shared" si="3"/>
        <v>0</v>
      </c>
      <c r="N19" s="469">
        <f t="shared" si="4"/>
        <v>44866</v>
      </c>
      <c r="O19" s="469">
        <f t="shared" si="4"/>
        <v>44895</v>
      </c>
      <c r="P19" s="467">
        <v>5311</v>
      </c>
    </row>
    <row r="20" spans="1:16" x14ac:dyDescent="0.3">
      <c r="A20" s="449">
        <v>12</v>
      </c>
      <c r="B20" s="451" t="s">
        <v>109</v>
      </c>
      <c r="C20" s="452">
        <f>DAY(EOMONTH(DATE(YEAR(B7),$A20,1),0))</f>
        <v>31</v>
      </c>
      <c r="F20" s="466">
        <f t="shared" si="0"/>
        <v>44896</v>
      </c>
      <c r="G20" s="466">
        <f t="shared" si="1"/>
        <v>44926</v>
      </c>
      <c r="H20" s="453"/>
      <c r="I20" s="468">
        <f t="shared" si="2"/>
        <v>31</v>
      </c>
      <c r="J20" s="468">
        <f t="shared" si="3"/>
        <v>0</v>
      </c>
      <c r="N20" s="469">
        <f t="shared" si="4"/>
        <v>44896</v>
      </c>
      <c r="O20" s="469">
        <f t="shared" si="4"/>
        <v>44926</v>
      </c>
      <c r="P20" s="467">
        <v>6868</v>
      </c>
    </row>
    <row r="21" spans="1:16" x14ac:dyDescent="0.3">
      <c r="A21" s="447"/>
      <c r="B21" s="447"/>
      <c r="C21" s="454">
        <f>SUM(C9:C20)</f>
        <v>365</v>
      </c>
      <c r="F21" s="459"/>
      <c r="G21" s="459"/>
      <c r="H21" s="470"/>
      <c r="I21" s="459"/>
      <c r="J21" s="459"/>
      <c r="N21" s="465"/>
      <c r="O21" s="465"/>
      <c r="P21" s="471">
        <f>SUM(P9:P20)</f>
        <v>44118</v>
      </c>
    </row>
    <row r="22" spans="1:16" ht="28.8" x14ac:dyDescent="0.3">
      <c r="G22" s="459"/>
      <c r="I22" s="472" t="s">
        <v>300</v>
      </c>
      <c r="J22" s="473">
        <f>ROUND(MAX(J9:J20),2)</f>
        <v>0</v>
      </c>
      <c r="N22" s="465"/>
      <c r="O22" s="472" t="s">
        <v>300</v>
      </c>
      <c r="P22" s="474">
        <f>FLOOR(P21/115,1)</f>
        <v>383</v>
      </c>
    </row>
    <row r="23" spans="1:16" x14ac:dyDescent="0.3">
      <c r="F23" s="459"/>
    </row>
    <row r="24" spans="1:16" hidden="1" x14ac:dyDescent="0.3">
      <c r="F24" s="708" t="s">
        <v>301</v>
      </c>
      <c r="G24" s="708"/>
      <c r="H24" s="475"/>
      <c r="I24" s="475"/>
      <c r="N24" s="708" t="s">
        <v>301</v>
      </c>
      <c r="O24" s="708"/>
    </row>
    <row r="25" spans="1:16" hidden="1" x14ac:dyDescent="0.3">
      <c r="F25" s="476" t="s">
        <v>302</v>
      </c>
      <c r="G25" s="475">
        <v>3240029165</v>
      </c>
      <c r="H25" s="475" t="s">
        <v>234</v>
      </c>
      <c r="I25" s="477" t="s">
        <v>303</v>
      </c>
      <c r="N25" s="446" t="s">
        <v>304</v>
      </c>
      <c r="O25" s="475">
        <v>6246000023</v>
      </c>
    </row>
    <row r="26" spans="1:16" hidden="1" x14ac:dyDescent="0.3">
      <c r="F26" s="478" t="s">
        <v>305</v>
      </c>
      <c r="G26" s="479">
        <v>119001898952</v>
      </c>
      <c r="H26" s="475"/>
      <c r="I26" s="475"/>
      <c r="N26" s="446" t="s">
        <v>306</v>
      </c>
      <c r="O26" s="479">
        <v>110001540357</v>
      </c>
    </row>
    <row r="27" spans="1:16" hidden="1" x14ac:dyDescent="0.3">
      <c r="F27" s="475"/>
      <c r="G27" s="475"/>
      <c r="H27" s="475"/>
      <c r="I27" s="475"/>
    </row>
    <row r="28" spans="1:16" hidden="1" x14ac:dyDescent="0.3">
      <c r="F28" s="478" t="s">
        <v>307</v>
      </c>
      <c r="G28" s="480">
        <v>3240001385</v>
      </c>
      <c r="H28" s="475"/>
      <c r="I28" s="475"/>
    </row>
    <row r="29" spans="1:16" hidden="1" x14ac:dyDescent="0.3">
      <c r="F29" s="478" t="s">
        <v>306</v>
      </c>
      <c r="G29" s="481">
        <v>113004696659</v>
      </c>
      <c r="H29" s="475"/>
      <c r="I29" s="475"/>
    </row>
    <row r="32" spans="1:16" x14ac:dyDescent="0.3"/>
    <row r="33" x14ac:dyDescent="0.3"/>
    <row r="34" x14ac:dyDescent="0.3"/>
    <row r="35" x14ac:dyDescent="0.3"/>
  </sheetData>
  <sheetProtection algorithmName="SHA-512" hashValue="st6EIACGrxAzdMHkiCbtYJJF0knr4Mbwwmcj6DK0Y1Qcnnjibo/rNdHfd2Vp9fNVWilqZxK4VRL97z/Y3FuB8g==" saltValue="l6r55Wd6S8fKZEq1ClLA6g=="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AH65"/>
  <sheetViews>
    <sheetView topLeftCell="A11" zoomScale="85" zoomScaleNormal="85" workbookViewId="0">
      <selection activeCell="G69" sqref="G69"/>
    </sheetView>
  </sheetViews>
  <sheetFormatPr defaultColWidth="8.88671875" defaultRowHeight="14.4" x14ac:dyDescent="0.3"/>
  <cols>
    <col min="1" max="1" width="10.88671875" style="1" customWidth="1"/>
    <col min="2" max="2" width="28.6640625" style="1" customWidth="1"/>
    <col min="3" max="3" width="10.33203125" style="1" bestFit="1" customWidth="1"/>
    <col min="4" max="4" width="13" style="1" customWidth="1"/>
    <col min="5" max="5" width="10.109375" style="1" bestFit="1" customWidth="1"/>
    <col min="6" max="7" width="12.5546875" style="1" bestFit="1" customWidth="1"/>
    <col min="8" max="8" width="10.109375" style="1" bestFit="1" customWidth="1"/>
    <col min="9" max="9" width="42.6640625" style="1" bestFit="1" customWidth="1"/>
    <col min="10" max="10" width="27.5546875" style="1" customWidth="1"/>
    <col min="11" max="11" width="38.44140625" style="1" bestFit="1" customWidth="1"/>
    <col min="12" max="12" width="12.21875" style="1" bestFit="1" customWidth="1"/>
    <col min="13" max="13" width="15.5546875" style="1" bestFit="1" customWidth="1"/>
    <col min="14" max="14" width="10.33203125" style="1" bestFit="1" customWidth="1"/>
    <col min="15" max="16" width="18" style="1" bestFit="1" customWidth="1"/>
    <col min="17" max="34" width="10.33203125" style="1" bestFit="1" customWidth="1"/>
    <col min="35" max="16384" width="8.88671875" style="1"/>
  </cols>
  <sheetData>
    <row r="1" spans="1:17" x14ac:dyDescent="0.3">
      <c r="J1" s="2" t="s">
        <v>33</v>
      </c>
    </row>
    <row r="2" spans="1:17" x14ac:dyDescent="0.3">
      <c r="G2" s="1" t="s">
        <v>55</v>
      </c>
      <c r="H2" s="404">
        <v>1</v>
      </c>
      <c r="J2" s="404">
        <v>1</v>
      </c>
      <c r="K2" s="367">
        <v>1</v>
      </c>
      <c r="L2" s="1" t="s">
        <v>42</v>
      </c>
      <c r="M2" s="1" t="s">
        <v>54</v>
      </c>
    </row>
    <row r="3" spans="1:17" x14ac:dyDescent="0.3">
      <c r="G3" s="363" t="s">
        <v>312</v>
      </c>
      <c r="H3" s="1">
        <v>1</v>
      </c>
      <c r="I3" s="1" t="s">
        <v>188</v>
      </c>
      <c r="K3" s="367">
        <v>2</v>
      </c>
      <c r="L3" s="1" t="s">
        <v>187</v>
      </c>
      <c r="M3" s="1" t="s">
        <v>155</v>
      </c>
      <c r="N3" s="1" t="s">
        <v>310</v>
      </c>
    </row>
    <row r="4" spans="1:17" x14ac:dyDescent="0.3">
      <c r="G4" s="363" t="s">
        <v>313</v>
      </c>
      <c r="H4" s="1">
        <v>2</v>
      </c>
      <c r="I4" s="1" t="s">
        <v>56</v>
      </c>
    </row>
    <row r="5" spans="1:17" x14ac:dyDescent="0.3">
      <c r="D5" s="1" t="s">
        <v>367</v>
      </c>
      <c r="L5" s="368"/>
    </row>
    <row r="6" spans="1:17" ht="28.8" x14ac:dyDescent="0.3">
      <c r="B6" s="364" t="s">
        <v>353</v>
      </c>
      <c r="C6" s="429">
        <v>1</v>
      </c>
      <c r="J6" s="364" t="s">
        <v>355</v>
      </c>
      <c r="K6" s="429">
        <v>2</v>
      </c>
      <c r="L6" s="368"/>
    </row>
    <row r="7" spans="1:17" ht="14.4" customHeight="1" x14ac:dyDescent="0.3">
      <c r="B7" s="433" t="s">
        <v>360</v>
      </c>
      <c r="C7" s="1">
        <v>1</v>
      </c>
      <c r="G7" s="1" t="str">
        <f>IF(AND('ovládací prvky'!$C$6=3,'Výpočet ceny distribuce'!E46&gt;'Výpočet ceny distribuce'!F16),'ovládací prvky'!$E$9,"")</f>
        <v/>
      </c>
      <c r="J7" s="711" t="s">
        <v>366</v>
      </c>
      <c r="K7" s="365" t="s">
        <v>308</v>
      </c>
      <c r="L7" s="502">
        <v>1</v>
      </c>
      <c r="M7" s="502"/>
      <c r="N7" s="502"/>
      <c r="O7" s="502"/>
    </row>
    <row r="8" spans="1:17" x14ac:dyDescent="0.3">
      <c r="B8" s="433" t="s">
        <v>354</v>
      </c>
      <c r="C8" s="1">
        <v>2</v>
      </c>
      <c r="J8" s="712"/>
      <c r="K8" s="365" t="s">
        <v>73</v>
      </c>
      <c r="L8" s="368">
        <v>2</v>
      </c>
    </row>
    <row r="9" spans="1:17" ht="84.6" customHeight="1" x14ac:dyDescent="0.3">
      <c r="B9" s="433" t="s">
        <v>356</v>
      </c>
      <c r="C9" s="1">
        <v>3</v>
      </c>
      <c r="D9" s="437" t="s">
        <v>384</v>
      </c>
      <c r="E9" s="709" t="s">
        <v>368</v>
      </c>
      <c r="F9" s="709"/>
      <c r="G9" s="709"/>
      <c r="H9" s="709"/>
      <c r="I9" s="709"/>
      <c r="J9" s="712"/>
      <c r="L9" s="368"/>
    </row>
    <row r="10" spans="1:17" x14ac:dyDescent="0.3">
      <c r="B10" s="434" t="s">
        <v>369</v>
      </c>
      <c r="C10" s="1">
        <v>4</v>
      </c>
      <c r="L10" s="368"/>
    </row>
    <row r="11" spans="1:17" x14ac:dyDescent="0.3">
      <c r="B11" s="503"/>
      <c r="C11" s="366"/>
      <c r="L11" s="368"/>
    </row>
    <row r="12" spans="1:17" x14ac:dyDescent="0.3">
      <c r="G12" s="399"/>
      <c r="H12" s="399"/>
      <c r="M12" s="368"/>
    </row>
    <row r="13" spans="1:17" ht="43.2" x14ac:dyDescent="0.3">
      <c r="A13" s="399">
        <f>'Klasik, CNG, M3R, výrobce'!D43</f>
        <v>44927</v>
      </c>
      <c r="B13" s="369" t="s">
        <v>175</v>
      </c>
      <c r="C13" s="370" t="s">
        <v>176</v>
      </c>
      <c r="D13" s="370" t="s">
        <v>177</v>
      </c>
      <c r="E13" s="371" t="s">
        <v>309</v>
      </c>
      <c r="F13" s="404">
        <v>1</v>
      </c>
      <c r="G13" s="1" t="s">
        <v>375</v>
      </c>
      <c r="H13" s="1" t="s">
        <v>374</v>
      </c>
      <c r="J13" s="2" t="s">
        <v>314</v>
      </c>
      <c r="K13" s="500" t="s">
        <v>324</v>
      </c>
      <c r="L13" s="500" t="s">
        <v>323</v>
      </c>
      <c r="M13" s="500" t="s">
        <v>388</v>
      </c>
      <c r="N13" s="405">
        <v>1</v>
      </c>
      <c r="O13" s="371" t="s">
        <v>331</v>
      </c>
      <c r="P13" s="371" t="s">
        <v>387</v>
      </c>
      <c r="Q13" s="509" t="str">
        <f>CONCATENATE(P14,P15,P16,P17,P18,P19)</f>
        <v>NE</v>
      </c>
    </row>
    <row r="14" spans="1:17" x14ac:dyDescent="0.3">
      <c r="B14" s="369">
        <v>1</v>
      </c>
      <c r="C14" s="373" t="s">
        <v>339</v>
      </c>
      <c r="D14" s="374">
        <f>DAY(EOMONTH(DATE(YEAR($A$13),$B14,1),0))</f>
        <v>31</v>
      </c>
      <c r="E14" s="399">
        <f>'Klasik, CNG, M3R, výrobce'!K60</f>
        <v>44927</v>
      </c>
      <c r="F14" s="399">
        <f>'Klasik, CNG, M3R, výrobce'!L60</f>
        <v>44957</v>
      </c>
      <c r="G14" s="399">
        <f>IF($F$13=B14,E14,"")</f>
        <v>44927</v>
      </c>
      <c r="H14" s="399">
        <f>IF($F$13=B14,F14,"")</f>
        <v>44957</v>
      </c>
      <c r="I14" s="1">
        <v>1</v>
      </c>
      <c r="J14" s="372" t="s">
        <v>311</v>
      </c>
      <c r="K14" s="507"/>
      <c r="L14" s="507" t="str">
        <f>IF(H2=1,J14,"")</f>
        <v>&lt;= 500 000 MWh</v>
      </c>
      <c r="M14" s="507" t="str">
        <f>IF(AND(K14="",L14=""),"",IF(L14="",K14,L14))</f>
        <v>&lt;= 500 000 MWh</v>
      </c>
      <c r="N14" s="1" t="s">
        <v>323</v>
      </c>
      <c r="O14" s="508" t="str">
        <f>IF(AND(I14=$N$13,M14=J14),"OK","nevybrána výše rozmezí nadlimitu")</f>
        <v>OK</v>
      </c>
      <c r="P14" s="371" t="str">
        <f>IF(I14=$N$13,IF(M14=$J$14,"NE",IF(M14="","","ANO")),"")</f>
        <v>NE</v>
      </c>
    </row>
    <row r="15" spans="1:17" x14ac:dyDescent="0.3">
      <c r="B15" s="369">
        <v>2</v>
      </c>
      <c r="C15" s="373" t="s">
        <v>340</v>
      </c>
      <c r="D15" s="374">
        <f t="shared" ref="D15:D25" si="0">DAY(EOMONTH(DATE(YEAR($A$13),$B15,1),0))</f>
        <v>28</v>
      </c>
      <c r="E15" s="399">
        <f>'Klasik, CNG, M3R, výrobce'!K61</f>
        <v>44958</v>
      </c>
      <c r="F15" s="399">
        <f>'Klasik, CNG, M3R, výrobce'!L61</f>
        <v>44985</v>
      </c>
      <c r="G15" s="399" t="str">
        <f t="shared" ref="G15:G25" si="1">IF($F$13=B15,E15,"")</f>
        <v/>
      </c>
      <c r="H15" s="399" t="str">
        <f t="shared" ref="H15:H25" si="2">IF($F$13=B15,F15,"")</f>
        <v/>
      </c>
      <c r="I15" s="1">
        <v>2</v>
      </c>
      <c r="J15" s="372" t="s">
        <v>160</v>
      </c>
      <c r="L15" s="507" t="str">
        <f>IF(H2=1,J15,"")</f>
        <v>&gt; 500 000 MWh</v>
      </c>
      <c r="M15" s="507" t="str">
        <f t="shared" ref="M15:M19" si="3">IF(AND(K15="",L15=""),"",IF(L15="",K15,L15))</f>
        <v>&gt; 500 000 MWh</v>
      </c>
      <c r="N15" s="1" t="s">
        <v>323</v>
      </c>
      <c r="O15" s="508" t="str">
        <f t="shared" ref="O15:O19" si="4">IF(AND(I15=$N$13,M15=J15),"OK","nevybrána výše rozmezí nadlimitu")</f>
        <v>nevybrána výše rozmezí nadlimitu</v>
      </c>
      <c r="P15" s="371" t="str">
        <f t="shared" ref="P15:P19" si="5">IF(I15=$N$13,IF(M15=$J$14,"NE",IF(M15="","","ANO")),"")</f>
        <v/>
      </c>
    </row>
    <row r="16" spans="1:17" x14ac:dyDescent="0.3">
      <c r="B16" s="369">
        <v>3</v>
      </c>
      <c r="C16" s="373" t="s">
        <v>341</v>
      </c>
      <c r="D16" s="374">
        <f t="shared" si="0"/>
        <v>31</v>
      </c>
      <c r="E16" s="399">
        <f>'Klasik, CNG, M3R, výrobce'!K62</f>
        <v>44986</v>
      </c>
      <c r="F16" s="399">
        <f>'Klasik, CNG, M3R, výrobce'!L62</f>
        <v>45016</v>
      </c>
      <c r="G16" s="399" t="str">
        <f t="shared" si="1"/>
        <v/>
      </c>
      <c r="H16" s="399" t="str">
        <f t="shared" si="2"/>
        <v/>
      </c>
      <c r="I16" s="1">
        <v>3</v>
      </c>
      <c r="J16" s="372" t="s">
        <v>311</v>
      </c>
      <c r="K16" s="507" t="str">
        <f>IF($H$2=1,"",IF($H$2=2,J16,""))</f>
        <v/>
      </c>
      <c r="M16" s="507" t="str">
        <f t="shared" si="3"/>
        <v/>
      </c>
      <c r="N16" s="1" t="s">
        <v>324</v>
      </c>
      <c r="O16" s="508" t="str">
        <f t="shared" si="4"/>
        <v>nevybrána výše rozmezí nadlimitu</v>
      </c>
      <c r="P16" s="371" t="str">
        <f t="shared" si="5"/>
        <v/>
      </c>
    </row>
    <row r="17" spans="1:16" x14ac:dyDescent="0.3">
      <c r="B17" s="369">
        <v>4</v>
      </c>
      <c r="C17" s="373" t="s">
        <v>342</v>
      </c>
      <c r="D17" s="374">
        <f t="shared" si="0"/>
        <v>30</v>
      </c>
      <c r="E17" s="399">
        <f>'Klasik, CNG, M3R, výrobce'!K63</f>
        <v>45017</v>
      </c>
      <c r="F17" s="399">
        <f>'Klasik, CNG, M3R, výrobce'!L63</f>
        <v>45046</v>
      </c>
      <c r="G17" s="399" t="str">
        <f t="shared" si="1"/>
        <v/>
      </c>
      <c r="H17" s="399" t="str">
        <f t="shared" si="2"/>
        <v/>
      </c>
      <c r="I17" s="1">
        <v>4</v>
      </c>
      <c r="J17" s="372" t="s">
        <v>43</v>
      </c>
      <c r="K17" s="507" t="str">
        <f>IF($H$2=1,"",IF($H$2=2,J17,""))</f>
        <v/>
      </c>
      <c r="M17" s="507" t="str">
        <f t="shared" si="3"/>
        <v/>
      </c>
      <c r="N17" s="1" t="s">
        <v>324</v>
      </c>
      <c r="O17" s="508" t="str">
        <f t="shared" si="4"/>
        <v>nevybrána výše rozmezí nadlimitu</v>
      </c>
      <c r="P17" s="371" t="str">
        <f t="shared" si="5"/>
        <v/>
      </c>
    </row>
    <row r="18" spans="1:16" x14ac:dyDescent="0.3">
      <c r="B18" s="369">
        <v>5</v>
      </c>
      <c r="C18" s="373" t="s">
        <v>343</v>
      </c>
      <c r="D18" s="374">
        <f t="shared" si="0"/>
        <v>31</v>
      </c>
      <c r="E18" s="399">
        <f>'Klasik, CNG, M3R, výrobce'!K64</f>
        <v>45047</v>
      </c>
      <c r="F18" s="399">
        <f>'Klasik, CNG, M3R, výrobce'!L64</f>
        <v>45077</v>
      </c>
      <c r="G18" s="399" t="str">
        <f t="shared" si="1"/>
        <v/>
      </c>
      <c r="H18" s="399" t="str">
        <f t="shared" si="2"/>
        <v/>
      </c>
      <c r="I18" s="1">
        <v>5</v>
      </c>
      <c r="J18" s="372" t="s">
        <v>161</v>
      </c>
      <c r="K18" s="507" t="str">
        <f>IF(H2=1,"",IF(H2=2,J18,""))</f>
        <v/>
      </c>
      <c r="M18" s="507" t="str">
        <f t="shared" si="3"/>
        <v/>
      </c>
      <c r="N18" s="1" t="s">
        <v>324</v>
      </c>
      <c r="O18" s="508" t="str">
        <f t="shared" si="4"/>
        <v>nevybrána výše rozmezí nadlimitu</v>
      </c>
      <c r="P18" s="371" t="str">
        <f t="shared" si="5"/>
        <v/>
      </c>
    </row>
    <row r="19" spans="1:16" x14ac:dyDescent="0.3">
      <c r="B19" s="369">
        <v>6</v>
      </c>
      <c r="C19" s="373" t="s">
        <v>344</v>
      </c>
      <c r="D19" s="374">
        <f t="shared" si="0"/>
        <v>30</v>
      </c>
      <c r="E19" s="399">
        <f>'Klasik, CNG, M3R, výrobce'!K65</f>
        <v>45078</v>
      </c>
      <c r="F19" s="399">
        <f>'Klasik, CNG, M3R, výrobce'!L65</f>
        <v>45107</v>
      </c>
      <c r="G19" s="399" t="str">
        <f t="shared" si="1"/>
        <v/>
      </c>
      <c r="H19" s="399" t="str">
        <f t="shared" si="2"/>
        <v/>
      </c>
      <c r="I19" s="1">
        <v>6</v>
      </c>
      <c r="J19" s="372" t="s">
        <v>163</v>
      </c>
      <c r="K19" s="507" t="str">
        <f>IF(H2=1,"",IF(H2=2,J19,""))</f>
        <v/>
      </c>
      <c r="M19" s="507" t="str">
        <f t="shared" si="3"/>
        <v/>
      </c>
      <c r="N19" s="1" t="s">
        <v>324</v>
      </c>
      <c r="O19" s="508" t="str">
        <f t="shared" si="4"/>
        <v>nevybrána výše rozmezí nadlimitu</v>
      </c>
      <c r="P19" s="371" t="str">
        <f t="shared" si="5"/>
        <v/>
      </c>
    </row>
    <row r="20" spans="1:16" x14ac:dyDescent="0.3">
      <c r="B20" s="369">
        <v>7</v>
      </c>
      <c r="C20" s="373" t="s">
        <v>345</v>
      </c>
      <c r="D20" s="374">
        <f t="shared" si="0"/>
        <v>31</v>
      </c>
      <c r="E20" s="399">
        <f>'Klasik, CNG, M3R, výrobce'!K66</f>
        <v>45108</v>
      </c>
      <c r="F20" s="399">
        <f>'Klasik, CNG, M3R, výrobce'!L66</f>
        <v>45138</v>
      </c>
      <c r="G20" s="399" t="str">
        <f t="shared" si="1"/>
        <v/>
      </c>
      <c r="H20" s="399" t="str">
        <f t="shared" si="2"/>
        <v/>
      </c>
      <c r="M20" s="371"/>
    </row>
    <row r="21" spans="1:16" x14ac:dyDescent="0.3">
      <c r="B21" s="369">
        <v>8</v>
      </c>
      <c r="C21" s="373" t="s">
        <v>346</v>
      </c>
      <c r="D21" s="374">
        <f t="shared" si="0"/>
        <v>31</v>
      </c>
      <c r="E21" s="399">
        <f>'Klasik, CNG, M3R, výrobce'!K67</f>
        <v>45139</v>
      </c>
      <c r="F21" s="399">
        <f>'Klasik, CNG, M3R, výrobce'!L67</f>
        <v>45169</v>
      </c>
      <c r="G21" s="399" t="str">
        <f t="shared" si="1"/>
        <v/>
      </c>
      <c r="H21" s="399" t="str">
        <f t="shared" si="2"/>
        <v/>
      </c>
    </row>
    <row r="22" spans="1:16" x14ac:dyDescent="0.3">
      <c r="B22" s="369">
        <v>9</v>
      </c>
      <c r="C22" s="373" t="s">
        <v>347</v>
      </c>
      <c r="D22" s="374">
        <f t="shared" si="0"/>
        <v>30</v>
      </c>
      <c r="E22" s="399">
        <f>'Klasik, CNG, M3R, výrobce'!K68</f>
        <v>45170</v>
      </c>
      <c r="F22" s="399">
        <f>'Klasik, CNG, M3R, výrobce'!L68</f>
        <v>45199</v>
      </c>
      <c r="G22" s="399" t="str">
        <f t="shared" si="1"/>
        <v/>
      </c>
      <c r="H22" s="399" t="str">
        <f t="shared" si="2"/>
        <v/>
      </c>
    </row>
    <row r="23" spans="1:16" x14ac:dyDescent="0.3">
      <c r="B23" s="369">
        <v>10</v>
      </c>
      <c r="C23" s="373" t="s">
        <v>348</v>
      </c>
      <c r="D23" s="374">
        <f t="shared" si="0"/>
        <v>31</v>
      </c>
      <c r="E23" s="399">
        <f>'Klasik, CNG, M3R, výrobce'!K69</f>
        <v>45200</v>
      </c>
      <c r="F23" s="399">
        <f>'Klasik, CNG, M3R, výrobce'!L69</f>
        <v>45230</v>
      </c>
      <c r="G23" s="399" t="str">
        <f t="shared" si="1"/>
        <v/>
      </c>
      <c r="H23" s="399" t="str">
        <f t="shared" si="2"/>
        <v/>
      </c>
    </row>
    <row r="24" spans="1:16" x14ac:dyDescent="0.3">
      <c r="B24" s="369">
        <v>11</v>
      </c>
      <c r="C24" s="373" t="s">
        <v>350</v>
      </c>
      <c r="D24" s="374">
        <f t="shared" si="0"/>
        <v>30</v>
      </c>
      <c r="E24" s="399">
        <f>'Klasik, CNG, M3R, výrobce'!K70</f>
        <v>45231</v>
      </c>
      <c r="F24" s="399">
        <f>'Klasik, CNG, M3R, výrobce'!L70</f>
        <v>45260</v>
      </c>
      <c r="G24" s="399" t="str">
        <f t="shared" si="1"/>
        <v/>
      </c>
      <c r="H24" s="399" t="str">
        <f t="shared" si="2"/>
        <v/>
      </c>
    </row>
    <row r="25" spans="1:16" x14ac:dyDescent="0.3">
      <c r="B25" s="369">
        <v>12</v>
      </c>
      <c r="C25" s="373" t="s">
        <v>349</v>
      </c>
      <c r="D25" s="374">
        <f t="shared" si="0"/>
        <v>31</v>
      </c>
      <c r="E25" s="399">
        <f>'Klasik, CNG, M3R, výrobce'!K71</f>
        <v>45261</v>
      </c>
      <c r="F25" s="399">
        <f>'Klasik, CNG, M3R, výrobce'!L71</f>
        <v>45291</v>
      </c>
      <c r="G25" s="399" t="str">
        <f t="shared" si="1"/>
        <v/>
      </c>
      <c r="H25" s="399" t="str">
        <f t="shared" si="2"/>
        <v/>
      </c>
    </row>
    <row r="26" spans="1:16" x14ac:dyDescent="0.3">
      <c r="B26" s="369"/>
      <c r="C26" s="369"/>
      <c r="D26" s="375">
        <f>SUM(D14:D25)</f>
        <v>365</v>
      </c>
      <c r="E26" s="1" t="s">
        <v>375</v>
      </c>
      <c r="F26" s="1" t="s">
        <v>374</v>
      </c>
    </row>
    <row r="28" spans="1:16" ht="28.8" x14ac:dyDescent="0.3">
      <c r="A28" s="403" t="s">
        <v>336</v>
      </c>
      <c r="B28" s="371" t="s">
        <v>321</v>
      </c>
      <c r="C28" s="406">
        <v>1</v>
      </c>
    </row>
    <row r="29" spans="1:16" x14ac:dyDescent="0.3">
      <c r="A29" s="1">
        <v>1</v>
      </c>
      <c r="B29" s="1" t="s">
        <v>123</v>
      </c>
    </row>
    <row r="30" spans="1:16" x14ac:dyDescent="0.3">
      <c r="A30" s="1">
        <v>2</v>
      </c>
      <c r="B30" s="1" t="s">
        <v>142</v>
      </c>
    </row>
    <row r="32" spans="1:16" x14ac:dyDescent="0.3">
      <c r="A32" s="710" t="s">
        <v>376</v>
      </c>
      <c r="B32" s="710"/>
      <c r="C32" s="710"/>
      <c r="D32" s="710"/>
      <c r="E32" s="710"/>
      <c r="F32" s="710"/>
      <c r="G32" s="710"/>
      <c r="H32" s="710"/>
      <c r="I32" s="710"/>
      <c r="J32" s="710"/>
      <c r="K32" s="710"/>
      <c r="L32" s="710"/>
      <c r="M32" s="710"/>
    </row>
    <row r="33" spans="1:34" x14ac:dyDescent="0.3">
      <c r="B33" s="500" t="s">
        <v>379</v>
      </c>
      <c r="C33" s="2" t="s">
        <v>377</v>
      </c>
      <c r="D33" s="2" t="s">
        <v>378</v>
      </c>
      <c r="E33" s="2" t="s">
        <v>378</v>
      </c>
      <c r="F33" s="2" t="s">
        <v>378</v>
      </c>
      <c r="G33" s="2" t="s">
        <v>378</v>
      </c>
      <c r="H33" s="2" t="s">
        <v>378</v>
      </c>
      <c r="I33" s="2" t="s">
        <v>378</v>
      </c>
      <c r="J33" s="2" t="s">
        <v>378</v>
      </c>
      <c r="K33" s="2" t="s">
        <v>378</v>
      </c>
      <c r="L33" s="2" t="s">
        <v>378</v>
      </c>
      <c r="M33" s="2" t="s">
        <v>378</v>
      </c>
      <c r="N33" s="2" t="s">
        <v>378</v>
      </c>
      <c r="O33" s="2" t="s">
        <v>378</v>
      </c>
      <c r="P33" s="2" t="s">
        <v>378</v>
      </c>
      <c r="Q33" s="2" t="s">
        <v>378</v>
      </c>
      <c r="R33" s="2" t="s">
        <v>378</v>
      </c>
      <c r="S33" s="2" t="s">
        <v>378</v>
      </c>
      <c r="T33" s="2" t="s">
        <v>378</v>
      </c>
      <c r="U33" s="2" t="s">
        <v>378</v>
      </c>
      <c r="V33" s="2" t="s">
        <v>378</v>
      </c>
      <c r="W33" s="2" t="s">
        <v>378</v>
      </c>
      <c r="X33" s="2" t="s">
        <v>378</v>
      </c>
      <c r="Y33" s="2" t="s">
        <v>378</v>
      </c>
      <c r="Z33" s="2" t="s">
        <v>378</v>
      </c>
      <c r="AA33" s="2" t="s">
        <v>378</v>
      </c>
      <c r="AB33" s="2" t="s">
        <v>378</v>
      </c>
      <c r="AC33" s="2" t="s">
        <v>378</v>
      </c>
      <c r="AD33" s="2" t="s">
        <v>378</v>
      </c>
      <c r="AE33" s="2" t="s">
        <v>378</v>
      </c>
      <c r="AF33" s="2" t="s">
        <v>378</v>
      </c>
      <c r="AG33" s="2" t="s">
        <v>378</v>
      </c>
      <c r="AH33" s="2" t="s">
        <v>378</v>
      </c>
    </row>
    <row r="34" spans="1:34" x14ac:dyDescent="0.3">
      <c r="A34" s="1">
        <v>1</v>
      </c>
      <c r="B34" s="399">
        <f>VLOOKUP($F$13,$C$34:$AH$45,2,FALSE)</f>
        <v>44927</v>
      </c>
      <c r="C34" s="2">
        <v>1</v>
      </c>
      <c r="D34" s="399">
        <f>'Klasik, CNG, M3R, výrobce'!D43</f>
        <v>44927</v>
      </c>
      <c r="E34" s="399">
        <f>D34+1</f>
        <v>44928</v>
      </c>
      <c r="F34" s="399">
        <f t="shared" ref="F34:AH34" si="6">E34+1</f>
        <v>44929</v>
      </c>
      <c r="G34" s="399">
        <f t="shared" si="6"/>
        <v>44930</v>
      </c>
      <c r="H34" s="399">
        <f t="shared" si="6"/>
        <v>44931</v>
      </c>
      <c r="I34" s="399">
        <f t="shared" si="6"/>
        <v>44932</v>
      </c>
      <c r="J34" s="399">
        <f t="shared" si="6"/>
        <v>44933</v>
      </c>
      <c r="K34" s="399">
        <f t="shared" si="6"/>
        <v>44934</v>
      </c>
      <c r="L34" s="399">
        <f t="shared" si="6"/>
        <v>44935</v>
      </c>
      <c r="M34" s="399">
        <f t="shared" si="6"/>
        <v>44936</v>
      </c>
      <c r="N34" s="399">
        <f t="shared" si="6"/>
        <v>44937</v>
      </c>
      <c r="O34" s="399">
        <f t="shared" si="6"/>
        <v>44938</v>
      </c>
      <c r="P34" s="399">
        <f t="shared" si="6"/>
        <v>44939</v>
      </c>
      <c r="Q34" s="399">
        <f t="shared" si="6"/>
        <v>44940</v>
      </c>
      <c r="R34" s="399">
        <f t="shared" si="6"/>
        <v>44941</v>
      </c>
      <c r="S34" s="399">
        <f t="shared" si="6"/>
        <v>44942</v>
      </c>
      <c r="T34" s="399">
        <f t="shared" si="6"/>
        <v>44943</v>
      </c>
      <c r="U34" s="399">
        <f t="shared" si="6"/>
        <v>44944</v>
      </c>
      <c r="V34" s="399">
        <f t="shared" si="6"/>
        <v>44945</v>
      </c>
      <c r="W34" s="399">
        <f t="shared" si="6"/>
        <v>44946</v>
      </c>
      <c r="X34" s="399">
        <f t="shared" si="6"/>
        <v>44947</v>
      </c>
      <c r="Y34" s="399">
        <f t="shared" si="6"/>
        <v>44948</v>
      </c>
      <c r="Z34" s="399">
        <f t="shared" si="6"/>
        <v>44949</v>
      </c>
      <c r="AA34" s="399">
        <f t="shared" si="6"/>
        <v>44950</v>
      </c>
      <c r="AB34" s="399">
        <f t="shared" si="6"/>
        <v>44951</v>
      </c>
      <c r="AC34" s="399">
        <f t="shared" si="6"/>
        <v>44952</v>
      </c>
      <c r="AD34" s="399">
        <f t="shared" si="6"/>
        <v>44953</v>
      </c>
      <c r="AE34" s="399">
        <f t="shared" si="6"/>
        <v>44954</v>
      </c>
      <c r="AF34" s="399">
        <f t="shared" si="6"/>
        <v>44955</v>
      </c>
      <c r="AG34" s="399">
        <f t="shared" si="6"/>
        <v>44956</v>
      </c>
      <c r="AH34" s="399">
        <f t="shared" si="6"/>
        <v>44957</v>
      </c>
    </row>
    <row r="35" spans="1:34" x14ac:dyDescent="0.3">
      <c r="A35" s="1">
        <v>2</v>
      </c>
      <c r="B35" s="399">
        <f>VLOOKUP($F$13,$C$34:$AH$45,3,FALSE)</f>
        <v>44928</v>
      </c>
      <c r="C35" s="2">
        <v>2</v>
      </c>
      <c r="D35" s="399">
        <f>D34+D14</f>
        <v>44958</v>
      </c>
      <c r="E35" s="399">
        <f>D35+1</f>
        <v>44959</v>
      </c>
      <c r="F35" s="399">
        <f t="shared" ref="F35:AE45" si="7">E35+1</f>
        <v>44960</v>
      </c>
      <c r="G35" s="399">
        <f t="shared" si="7"/>
        <v>44961</v>
      </c>
      <c r="H35" s="399">
        <f t="shared" si="7"/>
        <v>44962</v>
      </c>
      <c r="I35" s="399">
        <f t="shared" si="7"/>
        <v>44963</v>
      </c>
      <c r="J35" s="399">
        <f t="shared" si="7"/>
        <v>44964</v>
      </c>
      <c r="K35" s="399">
        <f t="shared" si="7"/>
        <v>44965</v>
      </c>
      <c r="L35" s="399">
        <f t="shared" si="7"/>
        <v>44966</v>
      </c>
      <c r="M35" s="399">
        <f t="shared" si="7"/>
        <v>44967</v>
      </c>
      <c r="N35" s="399">
        <f t="shared" si="7"/>
        <v>44968</v>
      </c>
      <c r="O35" s="399">
        <f t="shared" si="7"/>
        <v>44969</v>
      </c>
      <c r="P35" s="399">
        <f t="shared" si="7"/>
        <v>44970</v>
      </c>
      <c r="Q35" s="399">
        <f t="shared" si="7"/>
        <v>44971</v>
      </c>
      <c r="R35" s="399">
        <f t="shared" si="7"/>
        <v>44972</v>
      </c>
      <c r="S35" s="399">
        <f t="shared" si="7"/>
        <v>44973</v>
      </c>
      <c r="T35" s="399">
        <f t="shared" si="7"/>
        <v>44974</v>
      </c>
      <c r="U35" s="399">
        <f t="shared" si="7"/>
        <v>44975</v>
      </c>
      <c r="V35" s="399">
        <f t="shared" si="7"/>
        <v>44976</v>
      </c>
      <c r="W35" s="399">
        <f t="shared" si="7"/>
        <v>44977</v>
      </c>
      <c r="X35" s="399">
        <f t="shared" si="7"/>
        <v>44978</v>
      </c>
      <c r="Y35" s="399">
        <f t="shared" si="7"/>
        <v>44979</v>
      </c>
      <c r="Z35" s="399">
        <f t="shared" si="7"/>
        <v>44980</v>
      </c>
      <c r="AA35" s="399">
        <f t="shared" si="7"/>
        <v>44981</v>
      </c>
      <c r="AB35" s="399">
        <f t="shared" si="7"/>
        <v>44982</v>
      </c>
      <c r="AC35" s="399">
        <f t="shared" si="7"/>
        <v>44983</v>
      </c>
      <c r="AD35" s="399">
        <f t="shared" si="7"/>
        <v>44984</v>
      </c>
      <c r="AE35" s="399">
        <f t="shared" si="7"/>
        <v>44985</v>
      </c>
      <c r="AF35" s="399" t="str">
        <f>IF($D$15=29,AE35+1,"")</f>
        <v/>
      </c>
      <c r="AG35" s="399" t="s">
        <v>1</v>
      </c>
      <c r="AH35" s="399" t="s">
        <v>1</v>
      </c>
    </row>
    <row r="36" spans="1:34" x14ac:dyDescent="0.3">
      <c r="A36" s="1">
        <v>3</v>
      </c>
      <c r="B36" s="399">
        <f>VLOOKUP($F$13,$C$34:$AH$45,4,FALSE)</f>
        <v>44929</v>
      </c>
      <c r="C36" s="2">
        <v>3</v>
      </c>
      <c r="D36" s="399">
        <f t="shared" ref="D36:D45" si="8">D35+D15</f>
        <v>44986</v>
      </c>
      <c r="E36" s="399">
        <f t="shared" ref="E36:T45" si="9">D36+1</f>
        <v>44987</v>
      </c>
      <c r="F36" s="399">
        <f t="shared" si="9"/>
        <v>44988</v>
      </c>
      <c r="G36" s="399">
        <f t="shared" si="9"/>
        <v>44989</v>
      </c>
      <c r="H36" s="399">
        <f t="shared" si="9"/>
        <v>44990</v>
      </c>
      <c r="I36" s="399">
        <f t="shared" si="9"/>
        <v>44991</v>
      </c>
      <c r="J36" s="399">
        <f t="shared" si="9"/>
        <v>44992</v>
      </c>
      <c r="K36" s="399">
        <f t="shared" si="9"/>
        <v>44993</v>
      </c>
      <c r="L36" s="399">
        <f t="shared" si="9"/>
        <v>44994</v>
      </c>
      <c r="M36" s="399">
        <f t="shared" si="9"/>
        <v>44995</v>
      </c>
      <c r="N36" s="399">
        <f t="shared" si="9"/>
        <v>44996</v>
      </c>
      <c r="O36" s="399">
        <f t="shared" si="9"/>
        <v>44997</v>
      </c>
      <c r="P36" s="399">
        <f t="shared" si="9"/>
        <v>44998</v>
      </c>
      <c r="Q36" s="399">
        <f t="shared" si="9"/>
        <v>44999</v>
      </c>
      <c r="R36" s="399">
        <f t="shared" si="9"/>
        <v>45000</v>
      </c>
      <c r="S36" s="399">
        <f t="shared" si="9"/>
        <v>45001</v>
      </c>
      <c r="T36" s="399">
        <f t="shared" si="9"/>
        <v>45002</v>
      </c>
      <c r="U36" s="399">
        <f t="shared" si="7"/>
        <v>45003</v>
      </c>
      <c r="V36" s="399">
        <f t="shared" si="7"/>
        <v>45004</v>
      </c>
      <c r="W36" s="399">
        <f t="shared" si="7"/>
        <v>45005</v>
      </c>
      <c r="X36" s="399">
        <f t="shared" si="7"/>
        <v>45006</v>
      </c>
      <c r="Y36" s="399">
        <f t="shared" si="7"/>
        <v>45007</v>
      </c>
      <c r="Z36" s="399">
        <f t="shared" si="7"/>
        <v>45008</v>
      </c>
      <c r="AA36" s="399">
        <f t="shared" si="7"/>
        <v>45009</v>
      </c>
      <c r="AB36" s="399">
        <f t="shared" si="7"/>
        <v>45010</v>
      </c>
      <c r="AC36" s="399">
        <f t="shared" si="7"/>
        <v>45011</v>
      </c>
      <c r="AD36" s="399">
        <f t="shared" si="7"/>
        <v>45012</v>
      </c>
      <c r="AE36" s="399">
        <f t="shared" si="7"/>
        <v>45013</v>
      </c>
      <c r="AF36" s="399">
        <f t="shared" ref="AF36:AH45" si="10">AE36+1</f>
        <v>45014</v>
      </c>
      <c r="AG36" s="399">
        <f t="shared" si="10"/>
        <v>45015</v>
      </c>
      <c r="AH36" s="399">
        <f t="shared" si="10"/>
        <v>45016</v>
      </c>
    </row>
    <row r="37" spans="1:34" x14ac:dyDescent="0.3">
      <c r="A37" s="1">
        <v>4</v>
      </c>
      <c r="B37" s="399">
        <f>VLOOKUP($F$13,$C$34:$AH$45,5,FALSE)</f>
        <v>44930</v>
      </c>
      <c r="C37" s="2">
        <v>4</v>
      </c>
      <c r="D37" s="399">
        <f t="shared" si="8"/>
        <v>45017</v>
      </c>
      <c r="E37" s="399">
        <f t="shared" si="9"/>
        <v>45018</v>
      </c>
      <c r="F37" s="399">
        <f t="shared" si="9"/>
        <v>45019</v>
      </c>
      <c r="G37" s="399">
        <f t="shared" si="9"/>
        <v>45020</v>
      </c>
      <c r="H37" s="399">
        <f t="shared" si="9"/>
        <v>45021</v>
      </c>
      <c r="I37" s="399">
        <f t="shared" si="9"/>
        <v>45022</v>
      </c>
      <c r="J37" s="399">
        <f t="shared" si="9"/>
        <v>45023</v>
      </c>
      <c r="K37" s="399">
        <f t="shared" si="9"/>
        <v>45024</v>
      </c>
      <c r="L37" s="399">
        <f t="shared" si="9"/>
        <v>45025</v>
      </c>
      <c r="M37" s="399">
        <f t="shared" si="9"/>
        <v>45026</v>
      </c>
      <c r="N37" s="399">
        <f t="shared" si="9"/>
        <v>45027</v>
      </c>
      <c r="O37" s="399">
        <f t="shared" si="9"/>
        <v>45028</v>
      </c>
      <c r="P37" s="399">
        <f t="shared" si="9"/>
        <v>45029</v>
      </c>
      <c r="Q37" s="399">
        <f t="shared" si="9"/>
        <v>45030</v>
      </c>
      <c r="R37" s="399">
        <f t="shared" si="9"/>
        <v>45031</v>
      </c>
      <c r="S37" s="399">
        <f t="shared" si="9"/>
        <v>45032</v>
      </c>
      <c r="T37" s="399">
        <f t="shared" si="9"/>
        <v>45033</v>
      </c>
      <c r="U37" s="399">
        <f t="shared" si="7"/>
        <v>45034</v>
      </c>
      <c r="V37" s="399">
        <f t="shared" si="7"/>
        <v>45035</v>
      </c>
      <c r="W37" s="399">
        <f t="shared" si="7"/>
        <v>45036</v>
      </c>
      <c r="X37" s="399">
        <f t="shared" si="7"/>
        <v>45037</v>
      </c>
      <c r="Y37" s="399">
        <f t="shared" si="7"/>
        <v>45038</v>
      </c>
      <c r="Z37" s="399">
        <f t="shared" si="7"/>
        <v>45039</v>
      </c>
      <c r="AA37" s="399">
        <f t="shared" si="7"/>
        <v>45040</v>
      </c>
      <c r="AB37" s="399">
        <f t="shared" si="7"/>
        <v>45041</v>
      </c>
      <c r="AC37" s="399">
        <f t="shared" si="7"/>
        <v>45042</v>
      </c>
      <c r="AD37" s="399">
        <f t="shared" si="7"/>
        <v>45043</v>
      </c>
      <c r="AE37" s="399">
        <f t="shared" si="7"/>
        <v>45044</v>
      </c>
      <c r="AF37" s="399">
        <f t="shared" si="10"/>
        <v>45045</v>
      </c>
      <c r="AG37" s="399">
        <f t="shared" si="10"/>
        <v>45046</v>
      </c>
      <c r="AH37" s="399" t="s">
        <v>1</v>
      </c>
    </row>
    <row r="38" spans="1:34" x14ac:dyDescent="0.3">
      <c r="A38" s="1">
        <v>5</v>
      </c>
      <c r="B38" s="399">
        <f>VLOOKUP($F$13,$C$34:$AH$45,6,FALSE)</f>
        <v>44931</v>
      </c>
      <c r="C38" s="2">
        <v>5</v>
      </c>
      <c r="D38" s="399">
        <f t="shared" si="8"/>
        <v>45047</v>
      </c>
      <c r="E38" s="399">
        <f t="shared" si="9"/>
        <v>45048</v>
      </c>
      <c r="F38" s="399">
        <f t="shared" si="9"/>
        <v>45049</v>
      </c>
      <c r="G38" s="399">
        <f t="shared" si="9"/>
        <v>45050</v>
      </c>
      <c r="H38" s="399">
        <f t="shared" si="9"/>
        <v>45051</v>
      </c>
      <c r="I38" s="399">
        <f t="shared" si="9"/>
        <v>45052</v>
      </c>
      <c r="J38" s="399">
        <f t="shared" si="9"/>
        <v>45053</v>
      </c>
      <c r="K38" s="399">
        <f t="shared" si="9"/>
        <v>45054</v>
      </c>
      <c r="L38" s="399">
        <f t="shared" si="9"/>
        <v>45055</v>
      </c>
      <c r="M38" s="399">
        <f t="shared" si="9"/>
        <v>45056</v>
      </c>
      <c r="N38" s="399">
        <f t="shared" si="9"/>
        <v>45057</v>
      </c>
      <c r="O38" s="399">
        <f t="shared" si="9"/>
        <v>45058</v>
      </c>
      <c r="P38" s="399">
        <f t="shared" si="9"/>
        <v>45059</v>
      </c>
      <c r="Q38" s="399">
        <f t="shared" si="9"/>
        <v>45060</v>
      </c>
      <c r="R38" s="399">
        <f t="shared" si="9"/>
        <v>45061</v>
      </c>
      <c r="S38" s="399">
        <f t="shared" si="9"/>
        <v>45062</v>
      </c>
      <c r="T38" s="399">
        <f t="shared" si="9"/>
        <v>45063</v>
      </c>
      <c r="U38" s="399">
        <f t="shared" si="7"/>
        <v>45064</v>
      </c>
      <c r="V38" s="399">
        <f t="shared" si="7"/>
        <v>45065</v>
      </c>
      <c r="W38" s="399">
        <f t="shared" si="7"/>
        <v>45066</v>
      </c>
      <c r="X38" s="399">
        <f t="shared" si="7"/>
        <v>45067</v>
      </c>
      <c r="Y38" s="399">
        <f t="shared" si="7"/>
        <v>45068</v>
      </c>
      <c r="Z38" s="399">
        <f t="shared" si="7"/>
        <v>45069</v>
      </c>
      <c r="AA38" s="399">
        <f t="shared" si="7"/>
        <v>45070</v>
      </c>
      <c r="AB38" s="399">
        <f t="shared" si="7"/>
        <v>45071</v>
      </c>
      <c r="AC38" s="399">
        <f t="shared" si="7"/>
        <v>45072</v>
      </c>
      <c r="AD38" s="399">
        <f t="shared" si="7"/>
        <v>45073</v>
      </c>
      <c r="AE38" s="399">
        <f t="shared" si="7"/>
        <v>45074</v>
      </c>
      <c r="AF38" s="399">
        <f t="shared" si="10"/>
        <v>45075</v>
      </c>
      <c r="AG38" s="399">
        <f t="shared" si="10"/>
        <v>45076</v>
      </c>
      <c r="AH38" s="399">
        <f t="shared" si="10"/>
        <v>45077</v>
      </c>
    </row>
    <row r="39" spans="1:34" x14ac:dyDescent="0.3">
      <c r="A39" s="1">
        <v>6</v>
      </c>
      <c r="B39" s="399">
        <f>VLOOKUP($F$13,$C$34:$AH$45,7,FALSE)</f>
        <v>44932</v>
      </c>
      <c r="C39" s="2">
        <v>6</v>
      </c>
      <c r="D39" s="399">
        <f t="shared" si="8"/>
        <v>45078</v>
      </c>
      <c r="E39" s="399">
        <f t="shared" si="9"/>
        <v>45079</v>
      </c>
      <c r="F39" s="399">
        <f t="shared" si="9"/>
        <v>45080</v>
      </c>
      <c r="G39" s="399">
        <f t="shared" si="9"/>
        <v>45081</v>
      </c>
      <c r="H39" s="399">
        <f t="shared" si="9"/>
        <v>45082</v>
      </c>
      <c r="I39" s="399">
        <f t="shared" si="9"/>
        <v>45083</v>
      </c>
      <c r="J39" s="399">
        <f t="shared" si="9"/>
        <v>45084</v>
      </c>
      <c r="K39" s="399">
        <f t="shared" si="9"/>
        <v>45085</v>
      </c>
      <c r="L39" s="399">
        <f t="shared" si="9"/>
        <v>45086</v>
      </c>
      <c r="M39" s="399">
        <f t="shared" si="9"/>
        <v>45087</v>
      </c>
      <c r="N39" s="399">
        <f t="shared" si="9"/>
        <v>45088</v>
      </c>
      <c r="O39" s="399">
        <f t="shared" si="9"/>
        <v>45089</v>
      </c>
      <c r="P39" s="399">
        <f t="shared" si="9"/>
        <v>45090</v>
      </c>
      <c r="Q39" s="399">
        <f t="shared" si="9"/>
        <v>45091</v>
      </c>
      <c r="R39" s="399">
        <f t="shared" si="9"/>
        <v>45092</v>
      </c>
      <c r="S39" s="399">
        <f t="shared" si="9"/>
        <v>45093</v>
      </c>
      <c r="T39" s="399">
        <f t="shared" si="9"/>
        <v>45094</v>
      </c>
      <c r="U39" s="399">
        <f t="shared" si="7"/>
        <v>45095</v>
      </c>
      <c r="V39" s="399">
        <f t="shared" si="7"/>
        <v>45096</v>
      </c>
      <c r="W39" s="399">
        <f t="shared" si="7"/>
        <v>45097</v>
      </c>
      <c r="X39" s="399">
        <f t="shared" si="7"/>
        <v>45098</v>
      </c>
      <c r="Y39" s="399">
        <f t="shared" si="7"/>
        <v>45099</v>
      </c>
      <c r="Z39" s="399">
        <f t="shared" si="7"/>
        <v>45100</v>
      </c>
      <c r="AA39" s="399">
        <f t="shared" si="7"/>
        <v>45101</v>
      </c>
      <c r="AB39" s="399">
        <f t="shared" si="7"/>
        <v>45102</v>
      </c>
      <c r="AC39" s="399">
        <f t="shared" si="7"/>
        <v>45103</v>
      </c>
      <c r="AD39" s="399">
        <f t="shared" si="7"/>
        <v>45104</v>
      </c>
      <c r="AE39" s="399">
        <f t="shared" si="7"/>
        <v>45105</v>
      </c>
      <c r="AF39" s="399">
        <f t="shared" si="10"/>
        <v>45106</v>
      </c>
      <c r="AG39" s="399">
        <f t="shared" si="10"/>
        <v>45107</v>
      </c>
      <c r="AH39" s="399" t="s">
        <v>1</v>
      </c>
    </row>
    <row r="40" spans="1:34" x14ac:dyDescent="0.3">
      <c r="A40" s="1">
        <v>7</v>
      </c>
      <c r="B40" s="399">
        <f>VLOOKUP($F$13,$C$34:$AH$45,8,FALSE)</f>
        <v>44933</v>
      </c>
      <c r="C40" s="2">
        <v>7</v>
      </c>
      <c r="D40" s="399">
        <f t="shared" si="8"/>
        <v>45108</v>
      </c>
      <c r="E40" s="399">
        <f t="shared" si="9"/>
        <v>45109</v>
      </c>
      <c r="F40" s="399">
        <f t="shared" si="9"/>
        <v>45110</v>
      </c>
      <c r="G40" s="399">
        <f t="shared" si="9"/>
        <v>45111</v>
      </c>
      <c r="H40" s="399">
        <f t="shared" si="9"/>
        <v>45112</v>
      </c>
      <c r="I40" s="399">
        <f t="shared" si="9"/>
        <v>45113</v>
      </c>
      <c r="J40" s="399">
        <f t="shared" si="9"/>
        <v>45114</v>
      </c>
      <c r="K40" s="399">
        <f t="shared" si="9"/>
        <v>45115</v>
      </c>
      <c r="L40" s="399">
        <f t="shared" si="9"/>
        <v>45116</v>
      </c>
      <c r="M40" s="399">
        <f t="shared" si="9"/>
        <v>45117</v>
      </c>
      <c r="N40" s="399">
        <f t="shared" si="9"/>
        <v>45118</v>
      </c>
      <c r="O40" s="399">
        <f t="shared" si="9"/>
        <v>45119</v>
      </c>
      <c r="P40" s="399">
        <f t="shared" si="9"/>
        <v>45120</v>
      </c>
      <c r="Q40" s="399">
        <f t="shared" si="9"/>
        <v>45121</v>
      </c>
      <c r="R40" s="399">
        <f t="shared" si="9"/>
        <v>45122</v>
      </c>
      <c r="S40" s="399">
        <f t="shared" si="9"/>
        <v>45123</v>
      </c>
      <c r="T40" s="399">
        <f t="shared" si="9"/>
        <v>45124</v>
      </c>
      <c r="U40" s="399">
        <f t="shared" si="7"/>
        <v>45125</v>
      </c>
      <c r="V40" s="399">
        <f t="shared" si="7"/>
        <v>45126</v>
      </c>
      <c r="W40" s="399">
        <f t="shared" si="7"/>
        <v>45127</v>
      </c>
      <c r="X40" s="399">
        <f t="shared" si="7"/>
        <v>45128</v>
      </c>
      <c r="Y40" s="399">
        <f t="shared" si="7"/>
        <v>45129</v>
      </c>
      <c r="Z40" s="399">
        <f t="shared" si="7"/>
        <v>45130</v>
      </c>
      <c r="AA40" s="399">
        <f t="shared" si="7"/>
        <v>45131</v>
      </c>
      <c r="AB40" s="399">
        <f t="shared" si="7"/>
        <v>45132</v>
      </c>
      <c r="AC40" s="399">
        <f t="shared" si="7"/>
        <v>45133</v>
      </c>
      <c r="AD40" s="399">
        <f t="shared" si="7"/>
        <v>45134</v>
      </c>
      <c r="AE40" s="399">
        <f t="shared" si="7"/>
        <v>45135</v>
      </c>
      <c r="AF40" s="399">
        <f t="shared" si="10"/>
        <v>45136</v>
      </c>
      <c r="AG40" s="399">
        <f t="shared" si="10"/>
        <v>45137</v>
      </c>
      <c r="AH40" s="399">
        <f t="shared" si="10"/>
        <v>45138</v>
      </c>
    </row>
    <row r="41" spans="1:34" x14ac:dyDescent="0.3">
      <c r="A41" s="1">
        <v>8</v>
      </c>
      <c r="B41" s="399">
        <f>VLOOKUP($F$13,$C$34:$AH$45,9,FALSE)</f>
        <v>44934</v>
      </c>
      <c r="C41" s="2">
        <v>8</v>
      </c>
      <c r="D41" s="399">
        <f t="shared" si="8"/>
        <v>45139</v>
      </c>
      <c r="E41" s="399">
        <f t="shared" si="9"/>
        <v>45140</v>
      </c>
      <c r="F41" s="399">
        <f t="shared" si="9"/>
        <v>45141</v>
      </c>
      <c r="G41" s="399">
        <f t="shared" si="9"/>
        <v>45142</v>
      </c>
      <c r="H41" s="399">
        <f t="shared" si="9"/>
        <v>45143</v>
      </c>
      <c r="I41" s="399">
        <f t="shared" si="9"/>
        <v>45144</v>
      </c>
      <c r="J41" s="399">
        <f t="shared" si="9"/>
        <v>45145</v>
      </c>
      <c r="K41" s="399">
        <f t="shared" si="9"/>
        <v>45146</v>
      </c>
      <c r="L41" s="399">
        <f t="shared" si="9"/>
        <v>45147</v>
      </c>
      <c r="M41" s="399">
        <f t="shared" si="9"/>
        <v>45148</v>
      </c>
      <c r="N41" s="399">
        <f t="shared" si="9"/>
        <v>45149</v>
      </c>
      <c r="O41" s="399">
        <f t="shared" si="9"/>
        <v>45150</v>
      </c>
      <c r="P41" s="399">
        <f t="shared" si="9"/>
        <v>45151</v>
      </c>
      <c r="Q41" s="399">
        <f t="shared" si="9"/>
        <v>45152</v>
      </c>
      <c r="R41" s="399">
        <f t="shared" si="9"/>
        <v>45153</v>
      </c>
      <c r="S41" s="399">
        <f t="shared" si="9"/>
        <v>45154</v>
      </c>
      <c r="T41" s="399">
        <f t="shared" si="9"/>
        <v>45155</v>
      </c>
      <c r="U41" s="399">
        <f t="shared" si="7"/>
        <v>45156</v>
      </c>
      <c r="V41" s="399">
        <f t="shared" si="7"/>
        <v>45157</v>
      </c>
      <c r="W41" s="399">
        <f t="shared" si="7"/>
        <v>45158</v>
      </c>
      <c r="X41" s="399">
        <f t="shared" si="7"/>
        <v>45159</v>
      </c>
      <c r="Y41" s="399">
        <f t="shared" si="7"/>
        <v>45160</v>
      </c>
      <c r="Z41" s="399">
        <f t="shared" si="7"/>
        <v>45161</v>
      </c>
      <c r="AA41" s="399">
        <f t="shared" si="7"/>
        <v>45162</v>
      </c>
      <c r="AB41" s="399">
        <f t="shared" si="7"/>
        <v>45163</v>
      </c>
      <c r="AC41" s="399">
        <f t="shared" si="7"/>
        <v>45164</v>
      </c>
      <c r="AD41" s="399">
        <f t="shared" si="7"/>
        <v>45165</v>
      </c>
      <c r="AE41" s="399">
        <f t="shared" si="7"/>
        <v>45166</v>
      </c>
      <c r="AF41" s="399">
        <f t="shared" si="10"/>
        <v>45167</v>
      </c>
      <c r="AG41" s="399">
        <f t="shared" si="10"/>
        <v>45168</v>
      </c>
      <c r="AH41" s="399">
        <f t="shared" si="10"/>
        <v>45169</v>
      </c>
    </row>
    <row r="42" spans="1:34" x14ac:dyDescent="0.3">
      <c r="A42" s="1">
        <v>9</v>
      </c>
      <c r="B42" s="399">
        <f>VLOOKUP($F$13,$C$34:$AH$45,10,FALSE)</f>
        <v>44935</v>
      </c>
      <c r="C42" s="2">
        <v>9</v>
      </c>
      <c r="D42" s="399">
        <f t="shared" si="8"/>
        <v>45170</v>
      </c>
      <c r="E42" s="399">
        <f t="shared" si="9"/>
        <v>45171</v>
      </c>
      <c r="F42" s="399">
        <f t="shared" si="9"/>
        <v>45172</v>
      </c>
      <c r="G42" s="399">
        <f t="shared" si="9"/>
        <v>45173</v>
      </c>
      <c r="H42" s="399">
        <f t="shared" si="9"/>
        <v>45174</v>
      </c>
      <c r="I42" s="399">
        <f t="shared" si="9"/>
        <v>45175</v>
      </c>
      <c r="J42" s="399">
        <f t="shared" si="9"/>
        <v>45176</v>
      </c>
      <c r="K42" s="399">
        <f t="shared" si="9"/>
        <v>45177</v>
      </c>
      <c r="L42" s="399">
        <f t="shared" si="9"/>
        <v>45178</v>
      </c>
      <c r="M42" s="399">
        <f t="shared" si="9"/>
        <v>45179</v>
      </c>
      <c r="N42" s="399">
        <f t="shared" si="9"/>
        <v>45180</v>
      </c>
      <c r="O42" s="399">
        <f t="shared" si="9"/>
        <v>45181</v>
      </c>
      <c r="P42" s="399">
        <f t="shared" si="9"/>
        <v>45182</v>
      </c>
      <c r="Q42" s="399">
        <f t="shared" si="9"/>
        <v>45183</v>
      </c>
      <c r="R42" s="399">
        <f t="shared" si="9"/>
        <v>45184</v>
      </c>
      <c r="S42" s="399">
        <f t="shared" si="9"/>
        <v>45185</v>
      </c>
      <c r="T42" s="399">
        <f t="shared" si="9"/>
        <v>45186</v>
      </c>
      <c r="U42" s="399">
        <f t="shared" si="7"/>
        <v>45187</v>
      </c>
      <c r="V42" s="399">
        <f t="shared" si="7"/>
        <v>45188</v>
      </c>
      <c r="W42" s="399">
        <f t="shared" si="7"/>
        <v>45189</v>
      </c>
      <c r="X42" s="399">
        <f t="shared" si="7"/>
        <v>45190</v>
      </c>
      <c r="Y42" s="399">
        <f t="shared" si="7"/>
        <v>45191</v>
      </c>
      <c r="Z42" s="399">
        <f t="shared" si="7"/>
        <v>45192</v>
      </c>
      <c r="AA42" s="399">
        <f t="shared" si="7"/>
        <v>45193</v>
      </c>
      <c r="AB42" s="399">
        <f t="shared" si="7"/>
        <v>45194</v>
      </c>
      <c r="AC42" s="399">
        <f t="shared" si="7"/>
        <v>45195</v>
      </c>
      <c r="AD42" s="399">
        <f t="shared" si="7"/>
        <v>45196</v>
      </c>
      <c r="AE42" s="399">
        <f t="shared" si="7"/>
        <v>45197</v>
      </c>
      <c r="AF42" s="399">
        <f t="shared" si="10"/>
        <v>45198</v>
      </c>
      <c r="AG42" s="399">
        <f t="shared" si="10"/>
        <v>45199</v>
      </c>
      <c r="AH42" s="399" t="s">
        <v>1</v>
      </c>
    </row>
    <row r="43" spans="1:34" x14ac:dyDescent="0.3">
      <c r="A43" s="1">
        <v>10</v>
      </c>
      <c r="B43" s="399">
        <f>VLOOKUP($F$13,$C$34:$AH$45,11,FALSE)</f>
        <v>44936</v>
      </c>
      <c r="C43" s="2">
        <v>10</v>
      </c>
      <c r="D43" s="399">
        <f t="shared" si="8"/>
        <v>45200</v>
      </c>
      <c r="E43" s="399">
        <f t="shared" si="9"/>
        <v>45201</v>
      </c>
      <c r="F43" s="399">
        <f t="shared" si="9"/>
        <v>45202</v>
      </c>
      <c r="G43" s="399">
        <f t="shared" si="9"/>
        <v>45203</v>
      </c>
      <c r="H43" s="399">
        <f t="shared" si="9"/>
        <v>45204</v>
      </c>
      <c r="I43" s="399">
        <f t="shared" si="9"/>
        <v>45205</v>
      </c>
      <c r="J43" s="399">
        <f t="shared" si="9"/>
        <v>45206</v>
      </c>
      <c r="K43" s="399">
        <f t="shared" si="9"/>
        <v>45207</v>
      </c>
      <c r="L43" s="399">
        <f t="shared" si="9"/>
        <v>45208</v>
      </c>
      <c r="M43" s="399">
        <f t="shared" si="9"/>
        <v>45209</v>
      </c>
      <c r="N43" s="399">
        <f t="shared" si="9"/>
        <v>45210</v>
      </c>
      <c r="O43" s="399">
        <f t="shared" si="9"/>
        <v>45211</v>
      </c>
      <c r="P43" s="399">
        <f t="shared" si="9"/>
        <v>45212</v>
      </c>
      <c r="Q43" s="399">
        <f t="shared" si="9"/>
        <v>45213</v>
      </c>
      <c r="R43" s="399">
        <f t="shared" si="9"/>
        <v>45214</v>
      </c>
      <c r="S43" s="399">
        <f t="shared" si="9"/>
        <v>45215</v>
      </c>
      <c r="T43" s="399">
        <f t="shared" si="9"/>
        <v>45216</v>
      </c>
      <c r="U43" s="399">
        <f t="shared" si="7"/>
        <v>45217</v>
      </c>
      <c r="V43" s="399">
        <f t="shared" si="7"/>
        <v>45218</v>
      </c>
      <c r="W43" s="399">
        <f t="shared" si="7"/>
        <v>45219</v>
      </c>
      <c r="X43" s="399">
        <f t="shared" si="7"/>
        <v>45220</v>
      </c>
      <c r="Y43" s="399">
        <f t="shared" si="7"/>
        <v>45221</v>
      </c>
      <c r="Z43" s="399">
        <f t="shared" si="7"/>
        <v>45222</v>
      </c>
      <c r="AA43" s="399">
        <f t="shared" si="7"/>
        <v>45223</v>
      </c>
      <c r="AB43" s="399">
        <f t="shared" si="7"/>
        <v>45224</v>
      </c>
      <c r="AC43" s="399">
        <f t="shared" si="7"/>
        <v>45225</v>
      </c>
      <c r="AD43" s="399">
        <f t="shared" si="7"/>
        <v>45226</v>
      </c>
      <c r="AE43" s="399">
        <f t="shared" si="7"/>
        <v>45227</v>
      </c>
      <c r="AF43" s="399">
        <f t="shared" si="10"/>
        <v>45228</v>
      </c>
      <c r="AG43" s="399">
        <f t="shared" si="10"/>
        <v>45229</v>
      </c>
      <c r="AH43" s="399">
        <f t="shared" si="10"/>
        <v>45230</v>
      </c>
    </row>
    <row r="44" spans="1:34" x14ac:dyDescent="0.3">
      <c r="A44" s="1">
        <v>11</v>
      </c>
      <c r="B44" s="399">
        <f>VLOOKUP($F$13,$C$34:$AH$45,12,FALSE)</f>
        <v>44937</v>
      </c>
      <c r="C44" s="2">
        <v>11</v>
      </c>
      <c r="D44" s="399">
        <f t="shared" si="8"/>
        <v>45231</v>
      </c>
      <c r="E44" s="399">
        <f t="shared" si="9"/>
        <v>45232</v>
      </c>
      <c r="F44" s="399">
        <f t="shared" si="9"/>
        <v>45233</v>
      </c>
      <c r="G44" s="399">
        <f t="shared" si="9"/>
        <v>45234</v>
      </c>
      <c r="H44" s="399">
        <f t="shared" si="9"/>
        <v>45235</v>
      </c>
      <c r="I44" s="399">
        <f t="shared" si="9"/>
        <v>45236</v>
      </c>
      <c r="J44" s="399">
        <f t="shared" si="9"/>
        <v>45237</v>
      </c>
      <c r="K44" s="399">
        <f t="shared" si="9"/>
        <v>45238</v>
      </c>
      <c r="L44" s="399">
        <f t="shared" si="9"/>
        <v>45239</v>
      </c>
      <c r="M44" s="399">
        <f t="shared" si="9"/>
        <v>45240</v>
      </c>
      <c r="N44" s="399">
        <f t="shared" si="9"/>
        <v>45241</v>
      </c>
      <c r="O44" s="399">
        <f t="shared" si="9"/>
        <v>45242</v>
      </c>
      <c r="P44" s="399">
        <f t="shared" si="9"/>
        <v>45243</v>
      </c>
      <c r="Q44" s="399">
        <f t="shared" si="9"/>
        <v>45244</v>
      </c>
      <c r="R44" s="399">
        <f t="shared" si="9"/>
        <v>45245</v>
      </c>
      <c r="S44" s="399">
        <f t="shared" si="9"/>
        <v>45246</v>
      </c>
      <c r="T44" s="399">
        <f t="shared" si="9"/>
        <v>45247</v>
      </c>
      <c r="U44" s="399">
        <f t="shared" si="7"/>
        <v>45248</v>
      </c>
      <c r="V44" s="399">
        <f t="shared" si="7"/>
        <v>45249</v>
      </c>
      <c r="W44" s="399">
        <f t="shared" si="7"/>
        <v>45250</v>
      </c>
      <c r="X44" s="399">
        <f t="shared" si="7"/>
        <v>45251</v>
      </c>
      <c r="Y44" s="399">
        <f t="shared" si="7"/>
        <v>45252</v>
      </c>
      <c r="Z44" s="399">
        <f t="shared" si="7"/>
        <v>45253</v>
      </c>
      <c r="AA44" s="399">
        <f t="shared" si="7"/>
        <v>45254</v>
      </c>
      <c r="AB44" s="399">
        <f t="shared" si="7"/>
        <v>45255</v>
      </c>
      <c r="AC44" s="399">
        <f t="shared" si="7"/>
        <v>45256</v>
      </c>
      <c r="AD44" s="399">
        <f t="shared" si="7"/>
        <v>45257</v>
      </c>
      <c r="AE44" s="399">
        <f t="shared" si="7"/>
        <v>45258</v>
      </c>
      <c r="AF44" s="399">
        <f t="shared" si="10"/>
        <v>45259</v>
      </c>
      <c r="AG44" s="399">
        <f t="shared" si="10"/>
        <v>45260</v>
      </c>
      <c r="AH44" s="399" t="s">
        <v>1</v>
      </c>
    </row>
    <row r="45" spans="1:34" x14ac:dyDescent="0.3">
      <c r="A45" s="1">
        <v>12</v>
      </c>
      <c r="B45" s="399">
        <f>VLOOKUP($F$13,$C$34:$AH$45,13,FALSE)</f>
        <v>44938</v>
      </c>
      <c r="C45" s="2">
        <v>12</v>
      </c>
      <c r="D45" s="399">
        <f t="shared" si="8"/>
        <v>45261</v>
      </c>
      <c r="E45" s="399">
        <f t="shared" si="9"/>
        <v>45262</v>
      </c>
      <c r="F45" s="399">
        <f t="shared" si="9"/>
        <v>45263</v>
      </c>
      <c r="G45" s="399">
        <f t="shared" si="9"/>
        <v>45264</v>
      </c>
      <c r="H45" s="399">
        <f t="shared" si="9"/>
        <v>45265</v>
      </c>
      <c r="I45" s="399">
        <f t="shared" si="9"/>
        <v>45266</v>
      </c>
      <c r="J45" s="399">
        <f t="shared" si="9"/>
        <v>45267</v>
      </c>
      <c r="K45" s="399">
        <f t="shared" si="9"/>
        <v>45268</v>
      </c>
      <c r="L45" s="399">
        <f t="shared" si="9"/>
        <v>45269</v>
      </c>
      <c r="M45" s="399">
        <f t="shared" si="9"/>
        <v>45270</v>
      </c>
      <c r="N45" s="399">
        <f t="shared" si="9"/>
        <v>45271</v>
      </c>
      <c r="O45" s="399">
        <f t="shared" si="9"/>
        <v>45272</v>
      </c>
      <c r="P45" s="399">
        <f t="shared" si="9"/>
        <v>45273</v>
      </c>
      <c r="Q45" s="399">
        <f t="shared" si="9"/>
        <v>45274</v>
      </c>
      <c r="R45" s="399">
        <f t="shared" si="9"/>
        <v>45275</v>
      </c>
      <c r="S45" s="399">
        <f t="shared" si="9"/>
        <v>45276</v>
      </c>
      <c r="T45" s="399">
        <f t="shared" si="9"/>
        <v>45277</v>
      </c>
      <c r="U45" s="399">
        <f t="shared" si="7"/>
        <v>45278</v>
      </c>
      <c r="V45" s="399">
        <f t="shared" si="7"/>
        <v>45279</v>
      </c>
      <c r="W45" s="399">
        <f t="shared" si="7"/>
        <v>45280</v>
      </c>
      <c r="X45" s="399">
        <f t="shared" si="7"/>
        <v>45281</v>
      </c>
      <c r="Y45" s="399">
        <f t="shared" si="7"/>
        <v>45282</v>
      </c>
      <c r="Z45" s="399">
        <f t="shared" si="7"/>
        <v>45283</v>
      </c>
      <c r="AA45" s="399">
        <f t="shared" si="7"/>
        <v>45284</v>
      </c>
      <c r="AB45" s="399">
        <f t="shared" si="7"/>
        <v>45285</v>
      </c>
      <c r="AC45" s="399">
        <f t="shared" si="7"/>
        <v>45286</v>
      </c>
      <c r="AD45" s="399">
        <f t="shared" si="7"/>
        <v>45287</v>
      </c>
      <c r="AE45" s="399">
        <f t="shared" si="7"/>
        <v>45288</v>
      </c>
      <c r="AF45" s="399">
        <f t="shared" si="10"/>
        <v>45289</v>
      </c>
      <c r="AG45" s="399">
        <f t="shared" si="10"/>
        <v>45290</v>
      </c>
      <c r="AH45" s="399">
        <f t="shared" si="10"/>
        <v>45291</v>
      </c>
    </row>
    <row r="46" spans="1:34" x14ac:dyDescent="0.3">
      <c r="A46" s="1">
        <v>13</v>
      </c>
      <c r="B46" s="399">
        <f>VLOOKUP($F$13,$C$34:$AH$45,14,FALSE)</f>
        <v>44939</v>
      </c>
    </row>
    <row r="47" spans="1:34" x14ac:dyDescent="0.3">
      <c r="A47" s="1">
        <v>14</v>
      </c>
      <c r="B47" s="399">
        <f>VLOOKUP($F$13,$C$34:$AH$45,15,FALSE)</f>
        <v>44940</v>
      </c>
    </row>
    <row r="48" spans="1:34" ht="43.2" x14ac:dyDescent="0.3">
      <c r="A48" s="1">
        <v>15</v>
      </c>
      <c r="B48" s="399">
        <f>VLOOKUP($F$13,$C$34:$AH$45,16,FALSE)</f>
        <v>44941</v>
      </c>
      <c r="D48" s="1" t="s">
        <v>380</v>
      </c>
      <c r="E48" s="1" t="s">
        <v>381</v>
      </c>
      <c r="F48" s="371" t="s">
        <v>385</v>
      </c>
    </row>
    <row r="49" spans="1:6" x14ac:dyDescent="0.3">
      <c r="A49" s="1">
        <v>16</v>
      </c>
      <c r="B49" s="399">
        <f>VLOOKUP($F$13,$C$34:$AH$45,17,FALSE)</f>
        <v>44942</v>
      </c>
      <c r="D49" s="429">
        <v>1</v>
      </c>
      <c r="E49" s="429">
        <v>31</v>
      </c>
      <c r="F49" s="506" t="str">
        <f>IF(E49&gt;VLOOKUP(F13,B14:D25,3,FALSE),"vyberte Období do    ","")</f>
        <v/>
      </c>
    </row>
    <row r="50" spans="1:6" x14ac:dyDescent="0.3">
      <c r="A50" s="1">
        <v>17</v>
      </c>
      <c r="B50" s="399">
        <f>VLOOKUP($F$13,$C$34:$AH$45,18,FALSE)</f>
        <v>44943</v>
      </c>
      <c r="D50" s="399">
        <f>VLOOKUP(D49,$A$34:$B$64,2,FALSE)</f>
        <v>44927</v>
      </c>
      <c r="E50" s="399">
        <f>VLOOKUP(E49,$A$34:$B$64,2,FALSE)</f>
        <v>44957</v>
      </c>
    </row>
    <row r="51" spans="1:6" x14ac:dyDescent="0.3">
      <c r="A51" s="1">
        <v>18</v>
      </c>
      <c r="B51" s="399">
        <f>VLOOKUP($F$13,$C$34:$AH$45,19,FALSE)</f>
        <v>44944</v>
      </c>
    </row>
    <row r="52" spans="1:6" x14ac:dyDescent="0.3">
      <c r="A52" s="1">
        <v>19</v>
      </c>
      <c r="B52" s="399">
        <f>VLOOKUP($F$13,$C$34:$AH$45,20,FALSE)</f>
        <v>44945</v>
      </c>
    </row>
    <row r="53" spans="1:6" x14ac:dyDescent="0.3">
      <c r="A53" s="1">
        <v>20</v>
      </c>
      <c r="B53" s="399">
        <f>VLOOKUP($F$13,$C$34:$AH$45,21,FALSE)</f>
        <v>44946</v>
      </c>
    </row>
    <row r="54" spans="1:6" x14ac:dyDescent="0.3">
      <c r="A54" s="1">
        <v>21</v>
      </c>
      <c r="B54" s="399">
        <f>VLOOKUP($F$13,$C$34:$AH$45,22,FALSE)</f>
        <v>44947</v>
      </c>
    </row>
    <row r="55" spans="1:6" x14ac:dyDescent="0.3">
      <c r="A55" s="1">
        <v>22</v>
      </c>
      <c r="B55" s="399">
        <f>VLOOKUP($F$13,$C$34:$AH$45,23,FALSE)</f>
        <v>44948</v>
      </c>
    </row>
    <row r="56" spans="1:6" x14ac:dyDescent="0.3">
      <c r="A56" s="1">
        <v>23</v>
      </c>
      <c r="B56" s="399">
        <f>VLOOKUP($F$13,$C$34:$AH$45,24,FALSE)</f>
        <v>44949</v>
      </c>
    </row>
    <row r="57" spans="1:6" x14ac:dyDescent="0.3">
      <c r="A57" s="1">
        <v>24</v>
      </c>
      <c r="B57" s="399">
        <f>VLOOKUP($F$13,$C$34:$AH$45,25,FALSE)</f>
        <v>44950</v>
      </c>
    </row>
    <row r="58" spans="1:6" x14ac:dyDescent="0.3">
      <c r="A58" s="1">
        <v>25</v>
      </c>
      <c r="B58" s="399">
        <f>VLOOKUP($F$13,$C$34:$AH$45,26,FALSE)</f>
        <v>44951</v>
      </c>
    </row>
    <row r="59" spans="1:6" x14ac:dyDescent="0.3">
      <c r="A59" s="1">
        <v>26</v>
      </c>
      <c r="B59" s="399">
        <f>VLOOKUP($F$13,$C$34:$AH$45,27,FALSE)</f>
        <v>44952</v>
      </c>
    </row>
    <row r="60" spans="1:6" x14ac:dyDescent="0.3">
      <c r="A60" s="1">
        <v>27</v>
      </c>
      <c r="B60" s="399">
        <f>VLOOKUP($F$13,$C$34:$AH$45,28,FALSE)</f>
        <v>44953</v>
      </c>
    </row>
    <row r="61" spans="1:6" x14ac:dyDescent="0.3">
      <c r="A61" s="1">
        <v>28</v>
      </c>
      <c r="B61" s="399">
        <f>VLOOKUP($F$13,$C$34:$AH$45,29,FALSE)</f>
        <v>44954</v>
      </c>
    </row>
    <row r="62" spans="1:6" x14ac:dyDescent="0.3">
      <c r="A62" s="1">
        <v>29</v>
      </c>
      <c r="B62" s="399">
        <f>VLOOKUP($F$13,$C$34:$AH$45,30,FALSE)</f>
        <v>44955</v>
      </c>
    </row>
    <row r="63" spans="1:6" x14ac:dyDescent="0.3">
      <c r="A63" s="1">
        <v>30</v>
      </c>
      <c r="B63" s="399">
        <f>VLOOKUP($F$13,$C$34:$AH$45,31,FALSE)</f>
        <v>44956</v>
      </c>
    </row>
    <row r="64" spans="1:6" x14ac:dyDescent="0.3">
      <c r="A64" s="1">
        <v>31</v>
      </c>
      <c r="B64" s="399">
        <f>VLOOKUP($F$13,$C$34:$AH$45,32,FALSE)</f>
        <v>44957</v>
      </c>
    </row>
    <row r="65" spans="1:1" x14ac:dyDescent="0.3">
      <c r="A65" s="399"/>
    </row>
  </sheetData>
  <mergeCells count="3">
    <mergeCell ref="E9:I9"/>
    <mergeCell ref="A32:M32"/>
    <mergeCell ref="J7:J9"/>
  </mergeCells>
  <pageMargins left="0.7" right="0.7" top="0.78740157499999996" bottom="0.78740157499999996"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tabColor theme="6" tint="0.79998168889431442"/>
  </sheetPr>
  <dimension ref="A1:AM91"/>
  <sheetViews>
    <sheetView topLeftCell="D21" zoomScale="85" zoomScaleNormal="85" workbookViewId="0">
      <selection activeCell="G69" sqref="G69"/>
    </sheetView>
  </sheetViews>
  <sheetFormatPr defaultColWidth="9.109375" defaultRowHeight="14.4" x14ac:dyDescent="0.3"/>
  <cols>
    <col min="1" max="1" width="11.5546875" style="3" customWidth="1"/>
    <col min="2" max="2" width="21.6640625" style="3" customWidth="1"/>
    <col min="3" max="3" width="9.109375" style="3"/>
    <col min="4" max="4" width="12.109375" style="3" customWidth="1"/>
    <col min="5" max="5" width="38.5546875" style="3" customWidth="1"/>
    <col min="6" max="6" width="15.33203125" style="3" customWidth="1"/>
    <col min="7" max="7" width="12.5546875" style="3" customWidth="1"/>
    <col min="8" max="8" width="15.6640625" style="3" customWidth="1"/>
    <col min="9" max="9" width="16.44140625" style="3" bestFit="1" customWidth="1"/>
    <col min="10" max="10" width="15.109375" style="3" customWidth="1"/>
    <col min="11" max="11" width="15" style="3" bestFit="1" customWidth="1"/>
    <col min="12" max="13" width="15" style="3" customWidth="1"/>
    <col min="14" max="14" width="13.44140625" style="3" bestFit="1" customWidth="1"/>
    <col min="15" max="15" width="12" style="3" bestFit="1" customWidth="1"/>
    <col min="16" max="16" width="11.33203125" style="3" customWidth="1"/>
    <col min="17" max="17" width="13.33203125" style="3" customWidth="1"/>
    <col min="18" max="18" width="21.77734375" style="3" customWidth="1"/>
    <col min="19" max="20" width="12.88671875" style="3" customWidth="1"/>
    <col min="21" max="21" width="9.109375" style="3" customWidth="1"/>
    <col min="22" max="22" width="13.6640625" style="3" customWidth="1"/>
    <col min="23" max="23" width="22.33203125" style="3" hidden="1" customWidth="1"/>
    <col min="24" max="24" width="17.5546875" style="3" hidden="1" customWidth="1"/>
    <col min="25" max="25" width="23.6640625" style="3" hidden="1" customWidth="1"/>
    <col min="26" max="26" width="16.88671875" style="3" customWidth="1"/>
    <col min="27" max="27" width="20" style="3" customWidth="1"/>
    <col min="28" max="28" width="23" style="3" customWidth="1"/>
    <col min="29" max="30" width="16.88671875" style="3" customWidth="1"/>
    <col min="31" max="31" width="23" style="3" customWidth="1"/>
    <col min="32" max="33" width="16.6640625" style="3" customWidth="1"/>
    <col min="34" max="34" width="23" style="3" customWidth="1"/>
    <col min="35" max="36" width="16.5546875" style="3" customWidth="1"/>
    <col min="37" max="37" width="23" style="3" customWidth="1"/>
    <col min="38" max="38" width="10.6640625" style="3" bestFit="1" customWidth="1"/>
    <col min="39" max="39" width="12.44140625" style="3" bestFit="1" customWidth="1"/>
    <col min="40" max="16384" width="9.109375" style="3"/>
  </cols>
  <sheetData>
    <row r="1" spans="1:39" s="42" customFormat="1" ht="15.6" x14ac:dyDescent="0.3">
      <c r="B1" s="43"/>
      <c r="C1" s="43"/>
      <c r="D1" s="43"/>
      <c r="E1" s="43" t="s">
        <v>44</v>
      </c>
      <c r="F1" s="44" t="s">
        <v>45</v>
      </c>
      <c r="G1" s="43"/>
      <c r="H1" s="43"/>
      <c r="I1" s="43"/>
      <c r="J1" s="45" t="s">
        <v>46</v>
      </c>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9" s="42" customFormat="1" ht="15.6" x14ac:dyDescent="0.3">
      <c r="B2" s="43"/>
      <c r="C2" s="43"/>
      <c r="D2" s="46" t="s">
        <v>47</v>
      </c>
      <c r="E2" s="47" t="s">
        <v>48</v>
      </c>
      <c r="F2" s="48" t="s">
        <v>49</v>
      </c>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9" s="42" customFormat="1" ht="15.6" x14ac:dyDescent="0.3">
      <c r="B3" s="43"/>
      <c r="C3" s="43"/>
      <c r="D3" s="49"/>
      <c r="E3" s="50" t="s">
        <v>191</v>
      </c>
      <c r="F3" s="45"/>
      <c r="G3" s="43"/>
      <c r="H3" s="43"/>
      <c r="I3" s="43"/>
      <c r="J3" s="43"/>
      <c r="K3" s="48"/>
      <c r="L3" s="48"/>
      <c r="M3" s="48"/>
      <c r="N3" s="43"/>
      <c r="O3" s="43"/>
      <c r="P3" s="43"/>
      <c r="Q3" s="43"/>
      <c r="R3" s="43"/>
      <c r="S3" s="43"/>
      <c r="T3" s="43"/>
      <c r="U3" s="43"/>
      <c r="V3" s="43"/>
      <c r="W3" s="43"/>
      <c r="X3" s="43"/>
      <c r="Y3" s="43"/>
      <c r="Z3" s="51"/>
      <c r="AA3" s="43"/>
      <c r="AB3" s="43"/>
      <c r="AC3" s="43"/>
      <c r="AD3" s="43"/>
      <c r="AE3" s="43"/>
      <c r="AF3" s="43"/>
      <c r="AG3" s="43"/>
      <c r="AH3" s="43"/>
      <c r="AI3" s="43"/>
      <c r="AJ3" s="43"/>
      <c r="AK3" s="43"/>
    </row>
    <row r="4" spans="1:39" s="42" customFormat="1" ht="57.6" x14ac:dyDescent="0.3">
      <c r="D4" s="52"/>
      <c r="E4" s="251" t="s">
        <v>190</v>
      </c>
      <c r="F4" s="45" t="s">
        <v>189</v>
      </c>
      <c r="G4" s="43"/>
      <c r="H4" s="43"/>
      <c r="I4" s="43"/>
      <c r="J4" s="53" t="s">
        <v>50</v>
      </c>
      <c r="K4" s="54" t="s">
        <v>51</v>
      </c>
      <c r="L4" s="55" t="str">
        <f>VLOOKUP('ovládací prvky'!N13,'ovládací prvky'!I14:J18,2,FALSE)</f>
        <v>&lt;= 500 000 MWh</v>
      </c>
      <c r="M4" s="55" t="str">
        <f>IF(VLOOKUP('ovládací prvky'!N13,'ovládací prvky'!I14:O18,5,FALSE)="OK",VLOOKUP('ovládací prvky'!N13,'ovládací prvky'!I14:J18,2,FALSE),"nevybrána výše rozmezí nadlimitu")</f>
        <v>nevybrána výše rozmezí nadlimitu</v>
      </c>
      <c r="P4" s="5"/>
      <c r="Q4" s="43"/>
      <c r="R4" s="43"/>
      <c r="S4" s="43"/>
      <c r="T4" s="43"/>
      <c r="U4" s="43"/>
      <c r="V4" s="43"/>
      <c r="X4" s="43"/>
      <c r="Y4" s="43"/>
      <c r="Z4" s="45"/>
      <c r="AA4" s="45"/>
      <c r="AB4" s="43"/>
      <c r="AC4" s="43"/>
      <c r="AD4" s="43"/>
      <c r="AE4" s="43"/>
      <c r="AF4" s="43"/>
      <c r="AG4" s="43"/>
      <c r="AH4" s="43"/>
      <c r="AI4" s="43"/>
      <c r="AJ4" s="43"/>
      <c r="AK4" s="43"/>
    </row>
    <row r="5" spans="1:39" s="56" customFormat="1" ht="63.75" customHeight="1" x14ac:dyDescent="0.3">
      <c r="A5" s="722" t="s">
        <v>52</v>
      </c>
      <c r="B5" s="722"/>
      <c r="E5" s="57" t="s">
        <v>53</v>
      </c>
      <c r="F5" s="377" t="str">
        <f>VLOOKUP('ovládací prvky'!J2,'ovládací prvky'!K2:M3,3,FALSE)</f>
        <v>NGAS</v>
      </c>
      <c r="G5" s="57" t="s">
        <v>55</v>
      </c>
      <c r="H5" s="377" t="str">
        <f>VLOOKUP('ovládací prvky'!H2,'ovládací prvky'!H3:I4,2,FALSE)</f>
        <v>místní síť</v>
      </c>
      <c r="I5" s="55"/>
      <c r="J5" s="378" t="str">
        <f>IF(K5="&lt;= 500 000 MWh","NE","ANO")</f>
        <v>NE</v>
      </c>
      <c r="K5" s="379" t="str">
        <f>IF(VLOOKUP('ovládací prvky'!N13,'ovládací prvky'!I14:O19,7,FALSE)="OK",VLOOKUP('ovládací prvky'!N13,'ovládací prvky'!I14:M19,5,FALSE),"nevybrána výše rozmezí nadlimitu")</f>
        <v>&lt;= 500 000 MWh</v>
      </c>
      <c r="L5" s="55" t="str">
        <f>IF(AND('ovládací prvky'!E2=1,'ovládací prvky'!N13&gt;1),"ANO",IF(AND('ovládací prvky'!E2=1,'ovládací prvky'!N13=1),"není vybrán rozmezí nadlimitu","NE"))</f>
        <v>NE</v>
      </c>
      <c r="M5" s="358"/>
      <c r="Q5" s="55"/>
      <c r="R5" s="55"/>
      <c r="S5" s="55"/>
      <c r="T5" s="55"/>
      <c r="U5" s="55"/>
      <c r="V5" s="55"/>
      <c r="W5" s="55"/>
      <c r="X5" s="55"/>
      <c r="Y5" s="43"/>
      <c r="Z5" s="43"/>
      <c r="AA5" s="43"/>
      <c r="AB5" s="43"/>
      <c r="AC5" s="43"/>
      <c r="AD5" s="43" t="s">
        <v>332</v>
      </c>
      <c r="AE5" s="43"/>
      <c r="AF5" s="55"/>
      <c r="AG5" s="55"/>
      <c r="AH5" s="55"/>
      <c r="AI5" s="55"/>
      <c r="AJ5" s="55"/>
      <c r="AK5" s="55"/>
    </row>
    <row r="6" spans="1:39" s="56" customFormat="1" ht="25.8" x14ac:dyDescent="0.5">
      <c r="A6" s="58" t="s">
        <v>57</v>
      </c>
      <c r="B6" s="59"/>
      <c r="E6" s="60" t="s">
        <v>58</v>
      </c>
      <c r="F6" s="252" t="str">
        <f>VLOOKUP('ovládací prvky'!F13,'ovládací prvky'!B14:C25,2,FALSE)</f>
        <v>Leden</v>
      </c>
      <c r="G6" s="61"/>
      <c r="H6" s="61"/>
      <c r="I6" s="409"/>
      <c r="J6" s="55"/>
      <c r="K6" s="45"/>
      <c r="L6" s="45"/>
      <c r="N6" s="55"/>
      <c r="O6" s="55"/>
      <c r="P6" s="55"/>
      <c r="Q6" s="55"/>
      <c r="R6" s="55"/>
      <c r="S6" s="55"/>
      <c r="T6" s="55"/>
      <c r="U6" s="55"/>
      <c r="V6" s="55"/>
      <c r="W6" s="55"/>
      <c r="X6" s="55"/>
      <c r="Y6" s="55"/>
      <c r="Z6" s="43"/>
      <c r="AA6" s="55"/>
      <c r="AB6" s="55"/>
      <c r="AC6" s="43"/>
      <c r="AD6" s="43"/>
      <c r="AE6" s="43"/>
      <c r="AF6" s="62"/>
      <c r="AG6" s="55"/>
      <c r="AH6" s="55"/>
      <c r="AI6" s="62"/>
      <c r="AJ6" s="55"/>
      <c r="AK6" s="55"/>
    </row>
    <row r="7" spans="1:39" s="56" customFormat="1" ht="43.8" thickBot="1" x14ac:dyDescent="0.35">
      <c r="A7" s="58" t="s">
        <v>59</v>
      </c>
      <c r="B7" s="59"/>
      <c r="E7" s="57" t="s">
        <v>60</v>
      </c>
      <c r="F7" s="380">
        <f>'ovládací prvky'!D50</f>
        <v>44927</v>
      </c>
      <c r="G7" s="380">
        <f>'ovládací prvky'!E50</f>
        <v>44957</v>
      </c>
      <c r="H7" s="61"/>
      <c r="I7" s="55"/>
      <c r="J7" s="247"/>
      <c r="K7" s="247"/>
      <c r="L7" s="55"/>
      <c r="M7" s="55"/>
      <c r="N7" s="55"/>
      <c r="O7" s="55"/>
      <c r="P7" s="55"/>
      <c r="Q7" s="55"/>
      <c r="R7" s="55"/>
      <c r="S7" s="55"/>
      <c r="T7" s="55"/>
      <c r="U7" s="55"/>
      <c r="V7" s="55"/>
      <c r="W7" s="55"/>
      <c r="X7" s="55"/>
      <c r="Y7" s="55"/>
      <c r="Z7" s="55"/>
      <c r="AB7" s="55"/>
      <c r="AC7" s="43"/>
      <c r="AD7" s="43"/>
      <c r="AE7" s="43"/>
      <c r="AF7" s="55"/>
      <c r="AG7" s="55" t="s">
        <v>410</v>
      </c>
      <c r="AH7" s="55"/>
      <c r="AI7" s="55"/>
      <c r="AJ7" s="55"/>
      <c r="AK7" s="55"/>
    </row>
    <row r="8" spans="1:39" s="56" customFormat="1" ht="21.6" customHeight="1" thickBot="1" x14ac:dyDescent="0.35">
      <c r="A8" s="58" t="s">
        <v>61</v>
      </c>
      <c r="B8" s="59"/>
      <c r="E8" s="63" t="s">
        <v>62</v>
      </c>
      <c r="F8" s="57">
        <f>VLOOKUP($F$6,$E$60:$F$71,2,FALSE)</f>
        <v>31</v>
      </c>
      <c r="H8" s="61"/>
      <c r="I8" s="55" t="s">
        <v>1</v>
      </c>
      <c r="J8" s="723" t="s">
        <v>63</v>
      </c>
      <c r="K8" s="724"/>
      <c r="L8" s="724"/>
      <c r="M8" s="724"/>
      <c r="N8" s="724"/>
      <c r="O8" s="724"/>
      <c r="P8" s="724"/>
      <c r="Q8" s="724"/>
      <c r="R8" s="724"/>
      <c r="S8" s="724"/>
      <c r="T8" s="724"/>
      <c r="U8" s="724"/>
      <c r="V8" s="725"/>
      <c r="W8" s="723" t="s">
        <v>28</v>
      </c>
      <c r="X8" s="724"/>
      <c r="Y8" s="725"/>
      <c r="Z8" s="729" t="s">
        <v>64</v>
      </c>
      <c r="AA8" s="729"/>
      <c r="AB8" s="729"/>
      <c r="AC8" s="729"/>
      <c r="AD8" s="729"/>
      <c r="AE8" s="730"/>
      <c r="AF8" s="713" t="s">
        <v>65</v>
      </c>
      <c r="AG8" s="714"/>
      <c r="AH8" s="714"/>
      <c r="AI8" s="714"/>
      <c r="AJ8" s="714"/>
      <c r="AK8" s="715"/>
      <c r="AM8" s="64" t="s">
        <v>66</v>
      </c>
    </row>
    <row r="9" spans="1:39" s="56" customFormat="1" ht="21.6" customHeight="1" thickBot="1" x14ac:dyDescent="0.35">
      <c r="A9" s="58" t="s">
        <v>67</v>
      </c>
      <c r="B9" s="59"/>
      <c r="E9" s="65" t="s">
        <v>68</v>
      </c>
      <c r="F9" s="57">
        <f>G7-F7+1</f>
        <v>31</v>
      </c>
      <c r="G9" s="61"/>
      <c r="I9" s="55"/>
      <c r="J9" s="726"/>
      <c r="K9" s="727"/>
      <c r="L9" s="727"/>
      <c r="M9" s="727"/>
      <c r="N9" s="727"/>
      <c r="O9" s="727"/>
      <c r="P9" s="727"/>
      <c r="Q9" s="727"/>
      <c r="R9" s="727"/>
      <c r="S9" s="727"/>
      <c r="T9" s="727"/>
      <c r="U9" s="727"/>
      <c r="V9" s="728"/>
      <c r="W9" s="726"/>
      <c r="X9" s="727"/>
      <c r="Y9" s="728"/>
      <c r="Z9" s="716" t="s">
        <v>69</v>
      </c>
      <c r="AA9" s="717"/>
      <c r="AB9" s="718"/>
      <c r="AC9" s="717" t="s">
        <v>3</v>
      </c>
      <c r="AD9" s="717"/>
      <c r="AE9" s="718"/>
      <c r="AF9" s="716" t="s">
        <v>69</v>
      </c>
      <c r="AG9" s="717"/>
      <c r="AH9" s="718"/>
      <c r="AI9" s="716" t="s">
        <v>3</v>
      </c>
      <c r="AJ9" s="717"/>
      <c r="AK9" s="718"/>
      <c r="AM9" s="66" t="s">
        <v>70</v>
      </c>
    </row>
    <row r="10" spans="1:39" s="56" customFormat="1" ht="55.8" thickBot="1" x14ac:dyDescent="0.35">
      <c r="A10" s="58" t="s">
        <v>71</v>
      </c>
      <c r="B10" s="59"/>
      <c r="E10" s="57" t="s">
        <v>72</v>
      </c>
      <c r="F10" s="430" t="str">
        <f>IF('ovládací prvky'!K6=1,"ANO","NE")</f>
        <v>NE</v>
      </c>
      <c r="G10" s="57" t="s">
        <v>74</v>
      </c>
      <c r="H10" s="430" t="str">
        <f>IF('ovládací prvky'!C6=2,"ANO","NE")</f>
        <v>NE</v>
      </c>
      <c r="I10" s="67"/>
      <c r="J10" s="68" t="s">
        <v>19</v>
      </c>
      <c r="K10" s="69" t="s">
        <v>75</v>
      </c>
      <c r="L10" s="70" t="s">
        <v>76</v>
      </c>
      <c r="M10" s="70" t="s">
        <v>77</v>
      </c>
      <c r="N10" s="71" t="s">
        <v>78</v>
      </c>
      <c r="O10" s="72" t="s">
        <v>79</v>
      </c>
      <c r="P10" s="72" t="s">
        <v>80</v>
      </c>
      <c r="Q10" s="69" t="s">
        <v>81</v>
      </c>
      <c r="R10" s="69" t="s">
        <v>82</v>
      </c>
      <c r="S10" s="69" t="s">
        <v>83</v>
      </c>
      <c r="T10" s="69" t="s">
        <v>84</v>
      </c>
      <c r="U10" s="69" t="s">
        <v>85</v>
      </c>
      <c r="V10" s="264" t="s">
        <v>86</v>
      </c>
      <c r="W10" s="73" t="s">
        <v>87</v>
      </c>
      <c r="X10" s="74" t="s">
        <v>88</v>
      </c>
      <c r="Y10" s="75" t="s">
        <v>89</v>
      </c>
      <c r="Z10" s="574" t="s">
        <v>87</v>
      </c>
      <c r="AA10" s="72" t="s">
        <v>88</v>
      </c>
      <c r="AB10" s="76" t="s">
        <v>89</v>
      </c>
      <c r="AC10" s="71" t="s">
        <v>87</v>
      </c>
      <c r="AD10" s="72" t="s">
        <v>88</v>
      </c>
      <c r="AE10" s="76" t="s">
        <v>89</v>
      </c>
      <c r="AF10" s="72" t="s">
        <v>87</v>
      </c>
      <c r="AG10" s="72" t="s">
        <v>88</v>
      </c>
      <c r="AH10" s="77" t="s">
        <v>89</v>
      </c>
      <c r="AI10" s="72" t="s">
        <v>87</v>
      </c>
      <c r="AJ10" s="72" t="s">
        <v>88</v>
      </c>
      <c r="AK10" s="78" t="s">
        <v>89</v>
      </c>
      <c r="AL10" s="79" t="s">
        <v>90</v>
      </c>
      <c r="AM10" s="79" t="s">
        <v>5</v>
      </c>
    </row>
    <row r="11" spans="1:39" s="56" customFormat="1" ht="40.200000000000003" customHeight="1" x14ac:dyDescent="0.3">
      <c r="A11" s="58" t="s">
        <v>91</v>
      </c>
      <c r="B11" s="59"/>
      <c r="E11" s="57" t="s">
        <v>92</v>
      </c>
      <c r="F11" s="80">
        <v>0</v>
      </c>
      <c r="G11" s="54" t="s">
        <v>356</v>
      </c>
      <c r="H11" s="54" t="str">
        <f>IF(AND('ovládací prvky'!C6=3,'Výpočet ceny distribuce'!E46&gt;'Výpočet ceny distribuce'!F16),'Výpočet ceny distribuce'!E46,"")</f>
        <v/>
      </c>
      <c r="I11" s="230" t="s">
        <v>93</v>
      </c>
      <c r="J11" s="381">
        <f>'Výpočet ceny distribuce'!F14</f>
        <v>0</v>
      </c>
      <c r="K11" s="82"/>
      <c r="L11" s="82"/>
      <c r="M11" s="82"/>
      <c r="N11" s="83"/>
      <c r="O11" s="83"/>
      <c r="P11" s="83"/>
      <c r="Q11" s="82"/>
      <c r="R11" s="82"/>
      <c r="S11" s="82"/>
      <c r="T11" s="82"/>
      <c r="U11" s="82"/>
      <c r="V11" s="84"/>
      <c r="W11" s="85"/>
      <c r="X11" s="86">
        <f t="shared" ref="X11:X30" si="0">IF(AND($F$5="NGAS",$H$5="dálkovod"),AA11,IF(AND($F$5="NGAS",$H$5="místní síť"),AD11,IF(AND($F$5="EON",$H$5="dálkovod"),AG11,AJ11)))</f>
        <v>4.3119999999999999E-2</v>
      </c>
      <c r="Y11" s="87">
        <f t="shared" ref="Y11:Y31" si="1">IF(AND($F$5="NGAS",$H$5="dálkovod"),AB11,IF(AND($F$5="NGAS",$H$5="místní síť"),AE11,IF(AND($F$5="EON",$H$5="dálkovod"),AH11,AK11)))</f>
        <v>0</v>
      </c>
      <c r="Z11" s="575"/>
      <c r="AA11" s="88">
        <f>IF($H$10="ANO",$F$47,IF($J$5="ANO",VLOOKUP($K$5,$D$49:$F$51,3,FALSE),$F$45))</f>
        <v>1.6300000000000002E-2</v>
      </c>
      <c r="AB11" s="87">
        <f>ROUND(AA11*$J$11,2)</f>
        <v>0</v>
      </c>
      <c r="AC11" s="566"/>
      <c r="AD11" s="88">
        <f>IF($H$10="ANO",$K$47,IF($J$5="ANO",VLOOKUP($K$5,$I$49:$K$49,3,FALSE),$K$45))</f>
        <v>4.3119999999999999E-2</v>
      </c>
      <c r="AE11" s="89">
        <f>ROUND(AD11*$J$11,2)</f>
        <v>0</v>
      </c>
      <c r="AF11" s="91"/>
      <c r="AG11" s="88">
        <f>IF($H$10="ANO",$F$48,IF($J$5="ANO",VLOOKUP($K$5,$D$49:$F$51,3,FALSE),$F$46))</f>
        <v>2.4410000000000001E-2</v>
      </c>
      <c r="AH11" s="89">
        <f>ROUND(AG11*$J$11,2)</f>
        <v>0</v>
      </c>
      <c r="AI11" s="90"/>
      <c r="AJ11" s="88">
        <f>IF($H$10="ANO",$K$48,IF($J$5="ANO",VLOOKUP($K$5,$I$50:$K$50,3,FALSE),$K$46))</f>
        <v>8.788E-2</v>
      </c>
      <c r="AK11" s="87">
        <f>ROUND(AJ11*$J$11,2)</f>
        <v>0</v>
      </c>
      <c r="AM11" s="382">
        <f>Y11-AL11</f>
        <v>0</v>
      </c>
    </row>
    <row r="12" spans="1:39" s="56" customFormat="1" ht="28.95" customHeight="1" x14ac:dyDescent="0.3">
      <c r="A12" s="58" t="s">
        <v>94</v>
      </c>
      <c r="B12" s="59"/>
      <c r="E12" s="55"/>
      <c r="F12" s="55"/>
      <c r="G12" s="731" t="s">
        <v>95</v>
      </c>
      <c r="H12" s="93">
        <f>IF($F$11="0",J12,J12/(1-$F$11))</f>
        <v>0</v>
      </c>
      <c r="I12" s="94" t="s">
        <v>96</v>
      </c>
      <c r="J12" s="407">
        <f>'Výpočet ceny distribuce'!F15</f>
        <v>0</v>
      </c>
      <c r="K12" s="95">
        <f>IF(($J$12+$J$14)&lt;$E$56,$E$56,($J$12+$J$14))</f>
        <v>519</v>
      </c>
      <c r="L12" s="96" t="str">
        <f>IF(K12&gt;600000,"&gt; 600 000",IF(K12&gt;200000,"&gt; 200 000","do 200 000"))</f>
        <v>do 200 000</v>
      </c>
      <c r="M12" s="96"/>
      <c r="N12" s="97"/>
      <c r="O12" s="97"/>
      <c r="P12" s="97"/>
      <c r="Q12" s="96"/>
      <c r="R12" s="96"/>
      <c r="S12" s="96"/>
      <c r="T12" s="96"/>
      <c r="U12" s="96"/>
      <c r="V12" s="53"/>
      <c r="W12" s="98"/>
      <c r="X12" s="99">
        <f>IF(H10="ANO",0,IF(AND($F$5="NGAS",$H$5="dálkovod"),AA12,IF(AND($F$5="NGAS",$H$5="místní síť"),AD12,IF(AND($F$5="EON",$H$5="dálkovod"),AG12,AJ12))))</f>
        <v>265.68416999999999</v>
      </c>
      <c r="Y12" s="100">
        <f>IF(H10="ANO",0,IF(AND($F$5="NGAS",$H$5="dálkovod"),AB12,IF(AND($F$5="NGAS",$H$5="místní síť"),AE12,IF(AND($F$5="EON",$H$5="dálkovod"),AH12,AK12))))</f>
        <v>0</v>
      </c>
      <c r="Z12" s="576"/>
      <c r="AA12" s="557">
        <f>ROUND(IF($L12="&gt; 600 000",((($H$45+$I$45*LN($K12))*200000)+(($V$44*$U$44*$S$46)/1000*400000)+(($V$44*$U$44*$T$46)/1000*($K12-600000)))/$K12,IF($L12="&gt; 200 000",((($H$45+$I$45*LN($K12))*200000)+(($V$44*$U$44*$S$45)/1000*($K12-200000)))/$K12,$H$45+$I$45*LN($K12))),5)</f>
        <v>222.80226999999999</v>
      </c>
      <c r="AB12" s="100">
        <f>ROUND($J$12*$AA$12/12/$F$8*$F$9,2)</f>
        <v>0</v>
      </c>
      <c r="AC12" s="567"/>
      <c r="AD12" s="557">
        <f>ROUND(IF($L12="&gt; 600 000",((($M$45+$N$45*LN($K12))*200000)+(($V$44*$U$44*$S$51)/1000*400000)+(($V$44*$U$44*$T$51)/1000*($K12-600000)))/$K12,IF($L12="&gt; 200 000",((($M$45+$N$45*LN($K12))*200000)+(($V$44*$U$44*$S$50)/1000*($K12-200000)))/$K12,$M$45+$N$45*LN($K12))),5)</f>
        <v>265.68416999999999</v>
      </c>
      <c r="AE12" s="101">
        <f>ROUND($J$12*$AD$12/12/$F$8*$F$9,2)</f>
        <v>0</v>
      </c>
      <c r="AF12" s="103"/>
      <c r="AG12" s="557">
        <f>ROUND(IF($L12="&gt; 600 000",((($H$46+$I$46*LN($K12))*200000)+(($V$44*$U$44*$S$46)/1000*400000)+(($V$44*$U$44*$T$46)/1000*($K12-600000)))/$K12,IF($L12="&gt; 200 000",((($H$46+$I$46*LN($K12))*200000)+(($V$44*$U$44*$S$45)/1000*($K12-200000)))/$K12,$H$46+$I$46*LN($K12))),5)</f>
        <v>290.47305999999998</v>
      </c>
      <c r="AH12" s="101">
        <f>ROUND($J$12*$AG$12/12/$F$8*$F$9,2)</f>
        <v>0</v>
      </c>
      <c r="AI12" s="102"/>
      <c r="AJ12" s="557">
        <f>ROUND(IF($L12="&gt; 600 000",((($M$46+$N$46*LN($K12))*200000)+(($V$44*$U$44*$S$51)/1000*400000)+(($V$44*$U$44*$T$51)/1000*($K12-600000)))/$K12,IF($L12="&gt; 200 000",((($M$46+$N$46*LN($K12))*200000)+(($V$44*$U$44*$S$50)/1000*($K12-200000)))/$K12,$M$46+$N$46*LN($K12))),5)</f>
        <v>343.41426000000001</v>
      </c>
      <c r="AK12" s="100">
        <f>ROUND($J$12*$AJ$12/12/$F$8*$F$9,2)</f>
        <v>0</v>
      </c>
      <c r="AM12" s="382">
        <f t="shared" ref="AM12:AM32" si="2">Y12-AL12</f>
        <v>0</v>
      </c>
    </row>
    <row r="13" spans="1:39" s="56" customFormat="1" ht="28.95" customHeight="1" x14ac:dyDescent="0.3">
      <c r="A13" s="58" t="s">
        <v>97</v>
      </c>
      <c r="B13" s="59"/>
      <c r="E13" s="732" t="s">
        <v>98</v>
      </c>
      <c r="F13" s="733"/>
      <c r="G13" s="731"/>
      <c r="H13" s="93">
        <f>IF($F$11="0",J13,J13/(1-$F$11))</f>
        <v>0</v>
      </c>
      <c r="I13" s="104" t="s">
        <v>99</v>
      </c>
      <c r="J13" s="383">
        <f>IF(AND('ovládací prvky'!$C$6=3,'Výpočet ceny distribuce'!E46&gt;'Výpočet ceny distribuce'!F16),'Výpočet ceny distribuce'!E46,'Výpočet ceny distribuce'!F16)</f>
        <v>0</v>
      </c>
      <c r="K13" s="105">
        <f>IF($J$13+$J$14+$J$15&lt;$E$56,$E$56,$J$13+$J$14+$J$15)</f>
        <v>519</v>
      </c>
      <c r="L13" s="105" t="str">
        <f t="shared" ref="L13:L30" si="3">IF(K13&gt;600000,"&gt; 600 000",IF(K13&gt;200000,"&gt; 200 000","do 200 000"))</f>
        <v>do 200 000</v>
      </c>
      <c r="M13" s="105"/>
      <c r="N13" s="106"/>
      <c r="O13" s="106"/>
      <c r="P13" s="106"/>
      <c r="Q13" s="107"/>
      <c r="R13" s="107"/>
      <c r="S13" s="107"/>
      <c r="T13" s="107"/>
      <c r="U13" s="107"/>
      <c r="V13" s="108"/>
      <c r="W13" s="109"/>
      <c r="X13" s="110">
        <f>IF(H10="ANO",0,IF(AND($F$5="NGAS",$H$5="dálkovod"),AA13,IF(AND($F$5="NGAS",$H$5="místní síť"),AD13,IF(AND($F$5="EON",$H$5="dálkovod"),AG13,AJ13))))</f>
        <v>247.91817</v>
      </c>
      <c r="Y13" s="111">
        <f>IF(H10="ANO",0,IF(AND($F$5="NGAS",$H$5="dálkovod"),AB13,IF(AND($F$5="NGAS",$H$5="místní síť"),AE13,IF(AND($F$5="EON",$H$5="dálkovod"),AH13,AK13))))</f>
        <v>0</v>
      </c>
      <c r="Z13" s="577"/>
      <c r="AA13" s="558">
        <f>ROUND(IF($L13="&gt; 600 000",((($G$45+$I$45*LN($K13))*200000)+(($V$44*$U$44*$S$46)/1000*400000)+(($V$44*$U$44*$T$46)/1000*($K13-600000)))/$K13,IF($L13="&gt; 200 000",((($G$45+$I$45*LN($K13))*200000)+(($V$44*$U$44*$S$45)/1000*($K13-200000)))/$K13,$G$45+$I$45*LN($K13))),5)</f>
        <v>207.07827</v>
      </c>
      <c r="AB13" s="111">
        <f>ROUND($J$13*$AA$13/12/$F$8*$F$9,2)</f>
        <v>0</v>
      </c>
      <c r="AC13" s="568"/>
      <c r="AD13" s="557">
        <f>ROUND(IF($L13="&gt; 600 000",((($L$45+$N$45*LN($K13))*200000)+(($V$44*$U$44*$S$51)/1000*400000)+(($V$44*$U$44*$T$51)/1000*($K13-600000)))/$K13,IF($L13="&gt; 200 000",((($L$45+$N$45*LN($K13))*200000)+(($V$44*$U$44*$S$50)/1000*($K13-200000)))/$K13,$L$45+$N$45*LN($K13))),5)</f>
        <v>247.91817</v>
      </c>
      <c r="AE13" s="112">
        <f>ROUND($J$13*$AD$13/12/$F$8*$F$9,2)</f>
        <v>0</v>
      </c>
      <c r="AF13" s="113"/>
      <c r="AG13" s="557">
        <f>ROUND(IF($L13="&gt; 600 000",((($G$46+$I$46*LN($K13))*200000)+(($V$44*$U$44*$S$46)/1000*400000)+(($V$44*$U$44*$T$46)/1000*($K13-600000)))/$K13,IF($L13="&gt; 200 000",((($G$46+$I$46*LN($K13))*200000)+(($V$44*$U$44*$S$45)/1000*($K13-200000)))/$K13,$G$46+$I$46*LN($K13))),5)</f>
        <v>274.68346000000003</v>
      </c>
      <c r="AH13" s="112">
        <f>ROUND($J$13*$AG$13/12/$F$8*$F$9,2)</f>
        <v>0</v>
      </c>
      <c r="AI13" s="114"/>
      <c r="AJ13" s="557">
        <f>ROUND(IF($L13="&gt; 600 000",((($L$46+$N$46*LN($K13))*200000)+(($V$44*$U$44*$S$51)/1000*400000)+(($V$44*$U$44*$T$51)/1000*($K13-600000)))/$K13,IF($L13="&gt; 200 000",((($L$46+$N$46*LN($K13))*200000)+(($V$44*$U$44*$S$50)/1000*($K13-200000)))/$K13,$L$46+$N$46*LN($K13))),5)</f>
        <v>325.10365999999999</v>
      </c>
      <c r="AK13" s="112">
        <f>ROUND($J$13*$AJ$13/12/$F$8*$F$9,2)</f>
        <v>0</v>
      </c>
      <c r="AM13" s="382">
        <f t="shared" si="2"/>
        <v>0</v>
      </c>
    </row>
    <row r="14" spans="1:39" s="56" customFormat="1" ht="15.6" x14ac:dyDescent="0.3">
      <c r="A14" s="58" t="s">
        <v>100</v>
      </c>
      <c r="B14" s="59"/>
      <c r="E14" s="115" t="s">
        <v>101</v>
      </c>
      <c r="F14" s="105">
        <f>H13+J15+J16+J17+J18+J19+J20+J21+J22+J23+J24+J25+(IF(AND(N26&lt;=F18,O26&gt;=F18),J26,0)+IF(AND(N27&lt;=F18,O27&gt;=F18),J27,0)+IF(AND(N28&lt;=F18,O28&gt;=F18),J28,0)+IF(AND(N29&lt;=F18,O29&gt;=F18),J29,0)+IF(AND(N30&lt;=F18,O30&gt;=F18),J30,0))</f>
        <v>0</v>
      </c>
      <c r="G14" s="731"/>
      <c r="H14" s="93">
        <f>IF($F$11="0",J14,J14/(1-$F$11))</f>
        <v>0</v>
      </c>
      <c r="I14" s="116" t="s">
        <v>102</v>
      </c>
      <c r="J14" s="384">
        <f>'Výpočet ceny distribuce'!F18</f>
        <v>0</v>
      </c>
      <c r="K14" s="408">
        <f>IF($J$12&gt;0,$K$12,IF($J$13+$J$14+$J$15&lt;$E$56,$E$56,$J$13+$J$14+$J$15))</f>
        <v>519</v>
      </c>
      <c r="L14" s="105" t="str">
        <f t="shared" si="3"/>
        <v>do 200 000</v>
      </c>
      <c r="M14" s="105"/>
      <c r="N14" s="117"/>
      <c r="O14" s="117"/>
      <c r="P14" s="117"/>
      <c r="Q14" s="118"/>
      <c r="R14" s="118"/>
      <c r="S14" s="118"/>
      <c r="T14" s="118"/>
      <c r="U14" s="118"/>
      <c r="V14" s="119"/>
      <c r="W14" s="98"/>
      <c r="X14" s="99">
        <f>IF(H10="ANO",0,IF(AND($F$5="NGAS",$H$5="dálkovod"),AA14,IF(AND($F$5="NGAS",$H$5="místní síť"),AD14,IF(AND($F$5="EON",$H$5="dálkovod"),AG14,AJ14))))</f>
        <v>247.91817</v>
      </c>
      <c r="Y14" s="100">
        <f>IF(H10="ANO",0,IF(AND($F$5="NGAS",$H$5="dálkovod"),AB14,IF(AND($F$5="NGAS",$H$5="místní síť"),AE14,IF(AND($F$5="EON",$H$5="dálkovod"),AH14,AK14))))</f>
        <v>0</v>
      </c>
      <c r="Z14" s="576"/>
      <c r="AA14" s="557">
        <f>IF($J$12&gt;0,$AA$12,ROUND(IF($L14="&gt; 600 000",((($G$45+$I$45*LN($K14))*200000)+(($V$44*$U$44*$S$46)/1000*400000)+(($V$44*$U$44*$T$46)/1000*($K14-600000)))/$K14,IF($L14="&gt; 200 000",((($G$45+$I$45*LN($K14))*200000)+(($V$44*$U$44*$S$45)/1000*($K14-200000)))/$K14,$G$45+$I$45*LN($K14))),5))</f>
        <v>207.07827</v>
      </c>
      <c r="AB14" s="100">
        <f>ROUND($J$14*$AA$14/12/$F$8*$F$9,2)</f>
        <v>0</v>
      </c>
      <c r="AC14" s="567"/>
      <c r="AD14" s="557">
        <f>IF($J$12&gt;0,$AD$12,ROUND(IF($L14="&gt; 600 000",((($L$45+$N$45*LN($K14))*200000)+(($V$44*$U$44*$S$51)/1000*400000)+(($V$44*$U$44*$T$51)/1000*($K14-600000)))/$K14,IF($L14="&gt; 200 000",((($L$45+$N$45*LN($K14))*200000)+(($V$44*$U$44*$S$50)/1000*($K14-200000)))/$K14,$L$45+$N$45*LN($K14))),5))</f>
        <v>247.91817</v>
      </c>
      <c r="AE14" s="101">
        <f>ROUND($J$14*$AD$14/12/$F$8*$F$9,2)</f>
        <v>0</v>
      </c>
      <c r="AF14" s="120"/>
      <c r="AG14" s="557">
        <f>IF($J$12&gt;0,$AG$12,ROUND(IF($L14="&gt; 600 000",((($G$46+$I$46*LN($K14))*200000)+(($V$44*$U$44*$S$46)/1000*400000)+(($V$44*$U$44*$T$46)/1000*($K14-600000)))/$K14,IF($L14="&gt; 200 000",((($G$46+$I$46*LN($K14))*200000)+(($V$44*$U$44*$S$45)/1000*($K14-200000)))/$K14,$G$46+$I$46*LN($K14))),5))</f>
        <v>274.68346000000003</v>
      </c>
      <c r="AH14" s="101">
        <f>ROUND($J$14*$AG$14/12/$F$8*$F$9,2)</f>
        <v>0</v>
      </c>
      <c r="AI14" s="102"/>
      <c r="AJ14" s="557">
        <f>IF($J$12&gt;0,$AJ$12,ROUND(IF($L14="&gt; 600 000",((($L$46+$N$46*LN($K14))*200000)+(($V$44*$U$44*$S$51)/1000*400000)+(($V$44*$U$44*$T$51)/1000*($K14-600000)))/$K14,IF($L14="&gt; 200 000",((($L$46+$N$46*LN($K14))*200000)+(($V$44*$U$44*$S$50)/1000*($K14-200000)))/$K14,$L$46+$N$46*LN($K14))),5))</f>
        <v>325.10365999999999</v>
      </c>
      <c r="AK14" s="101">
        <f>ROUND($J$14*$AJ$14/12/$F$8*$F$9,2)</f>
        <v>0</v>
      </c>
      <c r="AM14" s="382">
        <f t="shared" si="2"/>
        <v>0</v>
      </c>
    </row>
    <row r="15" spans="1:39" s="56" customFormat="1" ht="16.2" thickBot="1" x14ac:dyDescent="0.35">
      <c r="A15" s="58" t="s">
        <v>103</v>
      </c>
      <c r="B15" s="59"/>
      <c r="E15" s="54" t="s">
        <v>104</v>
      </c>
      <c r="F15" s="121">
        <f>$F$14/100*3.8</f>
        <v>0</v>
      </c>
      <c r="G15" s="731"/>
      <c r="H15" s="93">
        <f>IF($F$11="0",J15,J15/(1-$F$11))</f>
        <v>0</v>
      </c>
      <c r="I15" s="122" t="s">
        <v>105</v>
      </c>
      <c r="J15" s="396">
        <f>IF(OR($C$15&gt;0,'ovládací prvky'!$C$6=3),0,'Výpočet ceny distribuce'!F17)</f>
        <v>0</v>
      </c>
      <c r="K15" s="123">
        <f>IF($J$13+$J$14+$J$15&lt;$E$56,$E$56,$J$13+$J$14+$J$15)</f>
        <v>519</v>
      </c>
      <c r="L15" s="123" t="str">
        <f t="shared" si="3"/>
        <v>do 200 000</v>
      </c>
      <c r="M15" s="123"/>
      <c r="N15" s="124"/>
      <c r="O15" s="124"/>
      <c r="P15" s="124"/>
      <c r="Q15" s="125"/>
      <c r="R15" s="125"/>
      <c r="S15" s="125"/>
      <c r="T15" s="125"/>
      <c r="U15" s="125"/>
      <c r="V15" s="126"/>
      <c r="W15" s="127"/>
      <c r="X15" s="128">
        <f>IF(H10="ANO",0,IF(AND($F$5="NGAS",$H$5="dálkovod"),AA15,IF(AND($F$5="NGAS",$H$5="místní síť"),AD15,IF(AND($F$5="EON",$H$5="dálkovod"),AG15,AJ15))))</f>
        <v>247.91817</v>
      </c>
      <c r="Y15" s="129">
        <f>IF(H10="ANO",0,IF(AND($F$5="NGAS",$H$5="dálkovod"),AB15,IF(AND($F$5="NGAS",$H$5="místní síť"),AE15,IF(AND($F$5="EON",$H$5="dálkovod"),AH15,AK15))))</f>
        <v>0</v>
      </c>
      <c r="Z15" s="162"/>
      <c r="AA15" s="559">
        <f>ROUND(IF($L15="&gt; 600 000",((($G$45+$I$45*LN($K15))*200000)+(($V$44*$U$44*$S$46)/1000*400000)+(($V$44*$U$44*$T$46)/1000*($K15-600000)))/$K15,IF($L15="&gt; 200 000",((($G$45+$I$45*LN($K15))*200000)+(($V$44*$U$44*$S$45)/1000*($K15-200000)))/$K15,$G$45+$I$45*LN($K15))),5)</f>
        <v>207.07827</v>
      </c>
      <c r="AB15" s="129">
        <f>ROUND($J$15*$AA$15/12/$F$8*$F$9,2)</f>
        <v>0</v>
      </c>
      <c r="AC15" s="569"/>
      <c r="AD15" s="559">
        <f>ROUND(IF($L15="&gt; 600 000",((($L$45+$N$45*LN($K15))*200000)+(($V$44*$U$44*$S$51)/1000*400000)+(($V$44*$U$44*$T$51)/1000*($K15-600000)))/$K15,IF($L15="&gt; 200 000",((($L$45+$N$45*LN($K15))*200000)+(($V$44*$U$44*$S$50)/1000*($K15-200000)))/$K15,$L$45+$N$45*LN($K15))),5)</f>
        <v>247.91817</v>
      </c>
      <c r="AE15" s="130">
        <f>ROUND($J$15*$AD$15/12/$F$8*$F$9,2)</f>
        <v>0</v>
      </c>
      <c r="AF15" s="132"/>
      <c r="AG15" s="559">
        <f>ROUND(IF($L15="&gt; 600 000",((($G$46+$I$46*LN($K15))*200000)+(($V$44*$U$44*$S$46)/1000*400000)+(($V$44*$U$44*$T$46)/1000*($K15-600000)))/$K15,IF($L15="&gt; 200 000",((($G$46+$I$46*LN($K15))*200000)+(($V$44*$U$44*$S$45)/1000*($K15-200000)))/$K15,$G$46+$I$46*LN($K15))),5)</f>
        <v>274.68346000000003</v>
      </c>
      <c r="AH15" s="130">
        <f>ROUND($J$15*$AG$15/12/$F$8*$F$9,2)</f>
        <v>0</v>
      </c>
      <c r="AI15" s="131"/>
      <c r="AJ15" s="559">
        <f>ROUND(IF($L15="&gt; 600 000",((($L$46+$N$46*LN($K15))*200000)+(($V$44*$U$44*$S$51)/1000*400000)+(($V$44*$U$44*$T$51)/1000*($K15-600000)))/$K15,IF($L15="&gt; 200 000",((($L$46+$N$46*LN($K15))*200000)+(($V$44*$U$44*$S$50)/1000*($K15-200000)))/$K15,$L$46+$N$46*LN($K15))),5)</f>
        <v>325.10365999999999</v>
      </c>
      <c r="AK15" s="133">
        <f>ROUND($J$15*$AJ$15/12/$F$8*$F$9,2)</f>
        <v>0</v>
      </c>
      <c r="AM15" s="382">
        <f t="shared" si="2"/>
        <v>0</v>
      </c>
    </row>
    <row r="16" spans="1:39" s="56" customFormat="1" ht="28.8" x14ac:dyDescent="0.3">
      <c r="A16" s="58" t="s">
        <v>106</v>
      </c>
      <c r="B16" s="59"/>
      <c r="E16" s="54" t="s">
        <v>107</v>
      </c>
      <c r="F16" s="134">
        <f>$F$14+$F$15</f>
        <v>0</v>
      </c>
      <c r="G16" s="135" t="s">
        <v>108</v>
      </c>
      <c r="H16" s="136">
        <f>SUM(H13:H15)</f>
        <v>0</v>
      </c>
      <c r="I16" s="104" t="s">
        <v>34</v>
      </c>
      <c r="J16" s="385">
        <f>IF(OR($C$15&gt;0,'ovládací prvky'!$C$6=3),0,'Výpočet ceny distribuce'!F19)</f>
        <v>0</v>
      </c>
      <c r="K16" s="137">
        <f t="shared" ref="K16:K25" si="4">IF($F$11=0,IF(SUM($J$13:$J$25)&lt;$E$56,$E$56,SUM($J$13:$J$25)),IF($H$16+SUM($J$16:$J$25)&lt;$E$56,$E$56,($H$16+SUM($J$16:$J$25))))</f>
        <v>519</v>
      </c>
      <c r="L16" s="137" t="str">
        <f t="shared" si="3"/>
        <v>do 200 000</v>
      </c>
      <c r="M16" s="137"/>
      <c r="N16" s="138">
        <f t="shared" ref="N16:N25" si="5">$F$7</f>
        <v>44927</v>
      </c>
      <c r="O16" s="138">
        <f t="shared" ref="O16:O25" si="6">$G$7</f>
        <v>44957</v>
      </c>
      <c r="P16" s="139">
        <f t="shared" ref="P16:P25" si="7">VLOOKUP($F$6,$E$60:$H$71,4,FALSE)</f>
        <v>0.4</v>
      </c>
      <c r="Q16" s="107"/>
      <c r="R16" s="107"/>
      <c r="S16" s="107"/>
      <c r="T16" s="107"/>
      <c r="U16" s="107"/>
      <c r="V16" s="140"/>
      <c r="W16" s="109"/>
      <c r="X16" s="110">
        <f>IF(H10="ANO",0,IF(AND($F$5="NGAS",$H$5="dálkovod"),AA16,IF(AND($F$5="NGAS",$H$5="místní síť"),AD16,IF(AND($F$5="EON",$H$5="dálkovod"),AG16,AJ16))))</f>
        <v>247.91817</v>
      </c>
      <c r="Y16" s="111">
        <f>IF(H10="ANO",0,IF(AND($F$5="NGAS",$H$5="dálkovod"),AB16,IF(AND($F$5="NGAS",$H$5="místní síť"),AE16,IF(AND($F$5="EON",$H$5="dálkovod"),AH16,AK16))))</f>
        <v>0</v>
      </c>
      <c r="Z16" s="577"/>
      <c r="AA16" s="558">
        <f>ROUND(IF($L16="&gt; 600 000",((($G$45+$I$45*LN($K16))*200000)+(($V$44*$U$44*$S$46)/1000*400000)+(($V$44*$U$44*$T$46)/1000*($K16-600000)))/$K16,IF($L16="&gt; 200 000",((($G$45+$I$45*LN($K16))*200000)+(($V$44*$U$44*$S$45)/1000*($K16-200000)))/$K16,$G$45+$I$45*LN($K16))),5)</f>
        <v>207.07827</v>
      </c>
      <c r="AB16" s="111">
        <f>ROUND(($J16*$AA16*$P16)/$F$8*$F$9,2)</f>
        <v>0</v>
      </c>
      <c r="AC16" s="568"/>
      <c r="AD16" s="558">
        <f>ROUND(IF($L16="&gt; 600 000",((($L$45+$N$45*LN($K16))*200000)+(($V$44*$U$44*$S$51)/1000*400000)+(($V$44*$U$44*$T$519)/1000*($K16-600000)))/$K16,IF($L16="&gt; 200 000",((($L$45+$N$45*LN($K16))*200000)+(($V$44*$U$44*$S$50)/1000*($K16-200000)))/$K16,$L$45+$N$45*LN($K16))),5)</f>
        <v>247.91817</v>
      </c>
      <c r="AE16" s="112">
        <f>ROUND(($J16*$AD16*$P16)/$F$8*$F$9,2)</f>
        <v>0</v>
      </c>
      <c r="AF16" s="113"/>
      <c r="AG16" s="558">
        <f>ROUND(IF($L16="&gt; 600 000",((($G$46+$I$46*LN($K16))*200000)+(($V$44*$U$44*$S$46)/1000*400000)+(($V$44*$U$44*$T$46)/1000*($K16-600000)))/$K16,IF($L16="&gt; 200 000",((($G$46+$I$46*LN($K16))*200000)+(($V$44*$U$44*$S$45)/1000*($K16-200000)))/$K16,$G$46+$I$46*LN($K16))),5)</f>
        <v>274.68346000000003</v>
      </c>
      <c r="AH16" s="112">
        <f t="shared" ref="AH16:AH25" si="8">ROUND(($J16*$AG16*$P16)/$F$8*$F$9,2)</f>
        <v>0</v>
      </c>
      <c r="AI16" s="114"/>
      <c r="AJ16" s="558">
        <f>ROUND(IF($L16="&gt; 600 000",((($L$46+$N$46*LN($K16))*200000)+(($V$44*$U$44*$S$51)/1000*400000)+(($V$44*$U$44*$T$51)/1000*($K16-600000)))/$K16,IF($L16="&gt; 200 000",((($L$46+$N$46*LN($K16))*200000)+(($V$44*$U$44*$S$50)/1000*($K16-200000)))/$K16,$L$46+$N$46*LN($K16))),5)</f>
        <v>325.10365999999999</v>
      </c>
      <c r="AK16" s="112">
        <f t="shared" ref="AK16:AK25" si="9">ROUND(($J16*$AJ16*$P16)/$F$8*$F$9,2)</f>
        <v>0</v>
      </c>
      <c r="AM16" s="382">
        <f t="shared" si="2"/>
        <v>0</v>
      </c>
    </row>
    <row r="17" spans="1:39" s="56" customFormat="1" ht="31.95" customHeight="1" x14ac:dyDescent="0.3">
      <c r="A17" s="58" t="s">
        <v>109</v>
      </c>
      <c r="B17" s="59"/>
      <c r="E17" s="54" t="s">
        <v>110</v>
      </c>
      <c r="F17" s="141">
        <f>F16/24</f>
        <v>0</v>
      </c>
      <c r="I17" s="116" t="s">
        <v>35</v>
      </c>
      <c r="J17" s="385">
        <f>IF(OR($C$15&gt;0,'ovládací prvky'!$C$6=3),0,'Výpočet ceny distribuce'!F20)</f>
        <v>0</v>
      </c>
      <c r="K17" s="105">
        <f t="shared" si="4"/>
        <v>519</v>
      </c>
      <c r="L17" s="105" t="str">
        <f t="shared" si="3"/>
        <v>do 200 000</v>
      </c>
      <c r="M17" s="105"/>
      <c r="N17" s="138">
        <f t="shared" si="5"/>
        <v>44927</v>
      </c>
      <c r="O17" s="138">
        <f t="shared" si="6"/>
        <v>44957</v>
      </c>
      <c r="P17" s="139">
        <f t="shared" si="7"/>
        <v>0.4</v>
      </c>
      <c r="Q17" s="107"/>
      <c r="R17" s="107"/>
      <c r="S17" s="107"/>
      <c r="T17" s="107"/>
      <c r="U17" s="107"/>
      <c r="V17" s="142"/>
      <c r="W17" s="109"/>
      <c r="X17" s="99">
        <f>IF(H10="ANO",0,IF(AND($F$5="NGAS",$H$5="dálkovod"),AA17,IF(AND($F$5="NGAS",$H$5="místní síť"),AD17,IF(AND($F$5="EON",$H$5="dálkovod"),AG17,AJ17))))</f>
        <v>247.91817</v>
      </c>
      <c r="Y17" s="100">
        <f>IF(H10="ANO",0,IF(AND($F$5="NGAS",$H$5="dálkovod"),AB17,IF(AND($F$5="NGAS",$H$5="místní síť"),AE17,IF(AND($F$5="EON",$H$5="dálkovod"),AH17,AK17))))</f>
        <v>0</v>
      </c>
      <c r="Z17" s="577"/>
      <c r="AA17" s="558">
        <f t="shared" ref="AA17:AA24" si="10">ROUND(IF($L17="&gt; 600 000",((($G$45+$I$45*LN($K17))*200000)+(($V$44*$U$44*$S$46)/1000*400000)+(($V$44*$U$44*$T$46)/1000*($K17-600000)))/$K17,IF($L17="&gt; 200 000",((($G$45+$I$45*LN($K17))*200000)+(($V$44*$U$44*$S$45)/1000*($K17-200000)))/$K17,$G$45+$I$45*LN($K17))),5)</f>
        <v>207.07827</v>
      </c>
      <c r="AB17" s="100">
        <f t="shared" ref="AB17:AB25" si="11">ROUND(($J17*$AA17*$P17)/$F$8*$F$9,2)</f>
        <v>0</v>
      </c>
      <c r="AC17" s="567"/>
      <c r="AD17" s="558">
        <f t="shared" ref="AD17:AD25" si="12">ROUND(IF($L17="&gt; 600 000",((($L$45+$N$45*LN($K17))*200000)+(($V$44*$U$44*$S$51)/1000*400000)+(($V$44*$U$44*$T$519)/1000*($K17-600000)))/$K17,IF($L17="&gt; 200 000",((($L$45+$N$45*LN($K17))*200000)+(($V$44*$U$44*$S$50)/1000*($K17-200000)))/$K17,$L$45+$N$45*LN($K17))),5)</f>
        <v>247.91817</v>
      </c>
      <c r="AE17" s="101">
        <f t="shared" ref="AE17:AE25" si="13">ROUND(($J17*$AD17*$P17)/$F$8*$F$9,2)</f>
        <v>0</v>
      </c>
      <c r="AF17" s="143"/>
      <c r="AG17" s="558">
        <f t="shared" ref="AG17:AG24" si="14">ROUND(IF($L17="&gt; 600 000",((($G$46+$I$46*LN($K17))*200000)+(($V$44*$U$44*$S$46)/1000*400000)+(($V$44*$U$44*$T$46)/1000*($K17-600000)))/$K17,IF($L17="&gt; 200 000",((($G$46+$I$46*LN($K17))*200000)+(($V$44*$U$44*$S$45)/1000*($K17-200000)))/$K17,$G$46+$I$46*LN($K17))),5)</f>
        <v>274.68346000000003</v>
      </c>
      <c r="AH17" s="101">
        <f t="shared" si="8"/>
        <v>0</v>
      </c>
      <c r="AI17" s="102"/>
      <c r="AJ17" s="558">
        <f t="shared" ref="AJ17:AJ24" si="15">ROUND(IF($L17="&gt; 600 000",((($L$46+$N$46*LN($K17))*200000)+(($V$44*$U$44*$S$51)/1000*400000)+(($V$44*$U$44*$T$51)/1000*($K17-600000)))/$K17,IF($L17="&gt; 200 000",((($L$46+$N$46*LN($K17))*200000)+(($V$44*$U$44*$S$50)/1000*($K17-200000)))/$K17,$L$46+$N$46*LN($K17))),5)</f>
        <v>325.10365999999999</v>
      </c>
      <c r="AK17" s="101">
        <f t="shared" si="9"/>
        <v>0</v>
      </c>
      <c r="AM17" s="382">
        <f t="shared" si="2"/>
        <v>0</v>
      </c>
    </row>
    <row r="18" spans="1:39" s="56" customFormat="1" ht="36" customHeight="1" x14ac:dyDescent="0.3">
      <c r="A18" s="144" t="s">
        <v>111</v>
      </c>
      <c r="B18" s="386">
        <f>SUM(B6:B17)/1000</f>
        <v>0</v>
      </c>
      <c r="E18" s="54" t="s">
        <v>112</v>
      </c>
      <c r="F18" s="387">
        <f>'Výpočet ceny distribuce'!D46</f>
        <v>0</v>
      </c>
      <c r="G18" s="59" t="s">
        <v>113</v>
      </c>
      <c r="I18" s="116" t="s">
        <v>36</v>
      </c>
      <c r="J18" s="385">
        <f>IF(OR($C$15&gt;0,'ovládací prvky'!$C$6=3),0,'Výpočet ceny distribuce'!F21)</f>
        <v>0</v>
      </c>
      <c r="K18" s="105">
        <f t="shared" si="4"/>
        <v>519</v>
      </c>
      <c r="L18" s="105" t="str">
        <f t="shared" si="3"/>
        <v>do 200 000</v>
      </c>
      <c r="M18" s="105"/>
      <c r="N18" s="138">
        <f t="shared" si="5"/>
        <v>44927</v>
      </c>
      <c r="O18" s="138">
        <f t="shared" si="6"/>
        <v>44957</v>
      </c>
      <c r="P18" s="139">
        <f t="shared" si="7"/>
        <v>0.4</v>
      </c>
      <c r="Q18" s="107"/>
      <c r="R18" s="107"/>
      <c r="S18" s="107"/>
      <c r="T18" s="107"/>
      <c r="U18" s="107"/>
      <c r="V18" s="142"/>
      <c r="W18" s="109"/>
      <c r="X18" s="99">
        <f>IF(H10="ANO",0,IF(AND($F$5="NGAS",$H$5="dálkovod"),AA18,IF(AND($F$5="NGAS",$H$5="místní síť"),AD18,IF(AND($F$5="EON",$H$5="dálkovod"),AG18,AJ18))))</f>
        <v>247.91817</v>
      </c>
      <c r="Y18" s="100">
        <f>IF(H10="ANO",0,IF(AND($F$5="NGAS",$H$5="dálkovod"),AB18,IF(AND($F$5="NGAS",$H$5="místní síť"),AE18,IF(AND($F$5="EON",$H$5="dálkovod"),AH18,AK18))))</f>
        <v>0</v>
      </c>
      <c r="Z18" s="577"/>
      <c r="AA18" s="558">
        <f t="shared" si="10"/>
        <v>207.07827</v>
      </c>
      <c r="AB18" s="100">
        <f t="shared" si="11"/>
        <v>0</v>
      </c>
      <c r="AC18" s="567"/>
      <c r="AD18" s="558">
        <f t="shared" si="12"/>
        <v>247.91817</v>
      </c>
      <c r="AE18" s="101">
        <f t="shared" si="13"/>
        <v>0</v>
      </c>
      <c r="AF18" s="143"/>
      <c r="AG18" s="558">
        <f t="shared" si="14"/>
        <v>274.68346000000003</v>
      </c>
      <c r="AH18" s="101">
        <f t="shared" si="8"/>
        <v>0</v>
      </c>
      <c r="AI18" s="102"/>
      <c r="AJ18" s="558">
        <f t="shared" si="15"/>
        <v>325.10365999999999</v>
      </c>
      <c r="AK18" s="101">
        <f t="shared" si="9"/>
        <v>0</v>
      </c>
      <c r="AM18" s="382">
        <f t="shared" si="2"/>
        <v>0</v>
      </c>
    </row>
    <row r="19" spans="1:39" s="56" customFormat="1" ht="29.4" customHeight="1" x14ac:dyDescent="0.3">
      <c r="A19" s="56" t="s">
        <v>114</v>
      </c>
      <c r="B19" s="388">
        <f>500001-B18</f>
        <v>500001</v>
      </c>
      <c r="E19" s="145" t="s">
        <v>115</v>
      </c>
      <c r="F19" s="389">
        <f>'Výpočet ceny distribuce'!E46</f>
        <v>0</v>
      </c>
      <c r="G19" s="390">
        <f>F19/24</f>
        <v>0</v>
      </c>
      <c r="I19" s="116" t="s">
        <v>37</v>
      </c>
      <c r="J19" s="385">
        <f>IF(OR($C$15&gt;0,'ovládací prvky'!$C$6=3),0,'Výpočet ceny distribuce'!F22)</f>
        <v>0</v>
      </c>
      <c r="K19" s="105">
        <f t="shared" si="4"/>
        <v>519</v>
      </c>
      <c r="L19" s="105" t="str">
        <f t="shared" si="3"/>
        <v>do 200 000</v>
      </c>
      <c r="M19" s="105"/>
      <c r="N19" s="138">
        <f t="shared" si="5"/>
        <v>44927</v>
      </c>
      <c r="O19" s="138">
        <f t="shared" si="6"/>
        <v>44957</v>
      </c>
      <c r="P19" s="139">
        <f t="shared" si="7"/>
        <v>0.4</v>
      </c>
      <c r="Q19" s="107"/>
      <c r="R19" s="107"/>
      <c r="S19" s="107"/>
      <c r="T19" s="107"/>
      <c r="U19" s="107"/>
      <c r="V19" s="142"/>
      <c r="W19" s="109"/>
      <c r="X19" s="99">
        <f>IF(H10="ANO",0,IF(AND($F$5="NGAS",$H$5="dálkovod"),AA19,IF(AND($F$5="NGAS",$H$5="místní síť"),AD19,IF(AND($F$5="EON",$H$5="dálkovod"),AG19,AJ19))))</f>
        <v>247.91817</v>
      </c>
      <c r="Y19" s="100">
        <f>IF(H10="ANO",0,IF(AND($F$5="NGAS",$H$5="dálkovod"),AB19,IF(AND($F$5="NGAS",$H$5="místní síť"),AE19,IF(AND($F$5="EON",$H$5="dálkovod"),AH19,AK19))))</f>
        <v>0</v>
      </c>
      <c r="Z19" s="577"/>
      <c r="AA19" s="558">
        <f t="shared" si="10"/>
        <v>207.07827</v>
      </c>
      <c r="AB19" s="100">
        <f t="shared" si="11"/>
        <v>0</v>
      </c>
      <c r="AC19" s="567"/>
      <c r="AD19" s="558">
        <f t="shared" si="12"/>
        <v>247.91817</v>
      </c>
      <c r="AE19" s="101">
        <f t="shared" si="13"/>
        <v>0</v>
      </c>
      <c r="AF19" s="143"/>
      <c r="AG19" s="558">
        <f t="shared" si="14"/>
        <v>274.68346000000003</v>
      </c>
      <c r="AH19" s="101">
        <f t="shared" si="8"/>
        <v>0</v>
      </c>
      <c r="AI19" s="102"/>
      <c r="AJ19" s="558">
        <f t="shared" si="15"/>
        <v>325.10365999999999</v>
      </c>
      <c r="AK19" s="101">
        <f t="shared" si="9"/>
        <v>0</v>
      </c>
      <c r="AM19" s="382">
        <f t="shared" si="2"/>
        <v>0</v>
      </c>
    </row>
    <row r="20" spans="1:39" s="56" customFormat="1" ht="15.6" x14ac:dyDescent="0.3">
      <c r="A20" s="56" t="s">
        <v>116</v>
      </c>
      <c r="B20" s="391">
        <f>B19*1000/31/24/10.632</f>
        <v>63209.589431782326</v>
      </c>
      <c r="E20" s="54" t="s">
        <v>117</v>
      </c>
      <c r="F20" s="146">
        <f>IF(OR($F$14="",$F$14=0),1,($F$19/$F$14)-100%)</f>
        <v>1</v>
      </c>
      <c r="G20" s="147"/>
      <c r="I20" s="116" t="s">
        <v>38</v>
      </c>
      <c r="J20" s="385">
        <f>IF(OR($C$15&gt;0,'ovládací prvky'!$C$6=3),0,'Výpočet ceny distribuce'!F23)</f>
        <v>0</v>
      </c>
      <c r="K20" s="105">
        <f t="shared" si="4"/>
        <v>519</v>
      </c>
      <c r="L20" s="105" t="str">
        <f t="shared" si="3"/>
        <v>do 200 000</v>
      </c>
      <c r="M20" s="105"/>
      <c r="N20" s="138">
        <f t="shared" si="5"/>
        <v>44927</v>
      </c>
      <c r="O20" s="138">
        <f t="shared" si="6"/>
        <v>44957</v>
      </c>
      <c r="P20" s="139">
        <f t="shared" si="7"/>
        <v>0.4</v>
      </c>
      <c r="Q20" s="107"/>
      <c r="R20" s="107"/>
      <c r="S20" s="107"/>
      <c r="T20" s="107"/>
      <c r="U20" s="107"/>
      <c r="V20" s="142"/>
      <c r="W20" s="109"/>
      <c r="X20" s="99">
        <f>IF(H10="ANO",0,IF(AND($F$5="NGAS",$H$5="dálkovod"),AA20,IF(AND($F$5="NGAS",$H$5="místní síť"),AD20,IF(AND($F$5="EON",$H$5="dálkovod"),AG20,AJ20))))</f>
        <v>247.91817</v>
      </c>
      <c r="Y20" s="148">
        <f>IF(H10="ANO",0,IF(AND($F$5="NGAS",$H$5="dálkovod"),AB20,IF(AND($F$5="NGAS",$H$5="místní síť"),AE20,IF(AND($F$5="EON",$H$5="dálkovod"),AH20,AK20))))</f>
        <v>0</v>
      </c>
      <c r="Z20" s="577"/>
      <c r="AA20" s="558">
        <f t="shared" si="10"/>
        <v>207.07827</v>
      </c>
      <c r="AB20" s="148">
        <f t="shared" si="11"/>
        <v>0</v>
      </c>
      <c r="AC20" s="570"/>
      <c r="AD20" s="558">
        <f t="shared" si="12"/>
        <v>247.91817</v>
      </c>
      <c r="AE20" s="149">
        <f t="shared" si="13"/>
        <v>0</v>
      </c>
      <c r="AF20" s="143"/>
      <c r="AG20" s="558">
        <f t="shared" si="14"/>
        <v>274.68346000000003</v>
      </c>
      <c r="AH20" s="149">
        <f t="shared" si="8"/>
        <v>0</v>
      </c>
      <c r="AI20" s="150"/>
      <c r="AJ20" s="558">
        <f t="shared" si="15"/>
        <v>325.10365999999999</v>
      </c>
      <c r="AK20" s="149">
        <f t="shared" si="9"/>
        <v>0</v>
      </c>
      <c r="AM20" s="382">
        <f t="shared" si="2"/>
        <v>0</v>
      </c>
    </row>
    <row r="21" spans="1:39" s="56" customFormat="1" ht="15.6" x14ac:dyDescent="0.3">
      <c r="E21" s="54" t="s">
        <v>118</v>
      </c>
      <c r="F21" s="54">
        <f>IF($F$20&gt;3.8%,$F$19-$F$16,0)</f>
        <v>0</v>
      </c>
      <c r="G21" s="92"/>
      <c r="I21" s="116" t="s">
        <v>119</v>
      </c>
      <c r="J21" s="531">
        <f>IF(OR($C$15&gt;0,'ovládací prvky'!$C$6=3),0,'Výpočet ceny distribuce'!F24)</f>
        <v>0</v>
      </c>
      <c r="K21" s="105">
        <f t="shared" si="4"/>
        <v>519</v>
      </c>
      <c r="L21" s="105" t="str">
        <f t="shared" si="3"/>
        <v>do 200 000</v>
      </c>
      <c r="M21" s="105"/>
      <c r="N21" s="138">
        <f t="shared" si="5"/>
        <v>44927</v>
      </c>
      <c r="O21" s="138">
        <f t="shared" si="6"/>
        <v>44957</v>
      </c>
      <c r="P21" s="139">
        <f t="shared" si="7"/>
        <v>0.4</v>
      </c>
      <c r="Q21" s="107"/>
      <c r="R21" s="107"/>
      <c r="S21" s="107"/>
      <c r="T21" s="107"/>
      <c r="U21" s="107"/>
      <c r="V21" s="142"/>
      <c r="W21" s="109"/>
      <c r="X21" s="99">
        <f>IF(H10="ANO",0,IF(AND($F$5="NGAS",$H$5="dálkovod"),AA21,IF(AND($F$5="NGAS",$H$5="místní síť"),AD21,IF(AND($F$5="EON",$H$5="dálkovod"),AG21,AJ21))))</f>
        <v>247.91817</v>
      </c>
      <c r="Y21" s="148">
        <f>IF(H10="ANO",0,IF(AND($F$5="NGAS",$H$5="dálkovod"),AB21,IF(AND($F$5="NGAS",$H$5="místní síť"),AE21,IF(AND($F$5="EON",$H$5="dálkovod"),AH21,AK21))))</f>
        <v>0</v>
      </c>
      <c r="Z21" s="577"/>
      <c r="AA21" s="558">
        <f t="shared" si="10"/>
        <v>207.07827</v>
      </c>
      <c r="AB21" s="148">
        <f t="shared" si="11"/>
        <v>0</v>
      </c>
      <c r="AC21" s="570"/>
      <c r="AD21" s="558">
        <f t="shared" si="12"/>
        <v>247.91817</v>
      </c>
      <c r="AE21" s="149">
        <f t="shared" si="13"/>
        <v>0</v>
      </c>
      <c r="AF21" s="143"/>
      <c r="AG21" s="558">
        <f t="shared" si="14"/>
        <v>274.68346000000003</v>
      </c>
      <c r="AH21" s="149">
        <f t="shared" si="8"/>
        <v>0</v>
      </c>
      <c r="AI21" s="150"/>
      <c r="AJ21" s="558">
        <f t="shared" si="15"/>
        <v>325.10365999999999</v>
      </c>
      <c r="AK21" s="149">
        <f t="shared" si="9"/>
        <v>0</v>
      </c>
      <c r="AM21" s="382">
        <f t="shared" si="2"/>
        <v>0</v>
      </c>
    </row>
    <row r="22" spans="1:39" s="56" customFormat="1" ht="15.6" x14ac:dyDescent="0.3">
      <c r="D22" s="151"/>
      <c r="E22" s="54" t="s">
        <v>120</v>
      </c>
      <c r="F22" s="54">
        <f>IF($F$20&gt;3.8%,$F$19-F14,0)</f>
        <v>0</v>
      </c>
      <c r="G22" s="92"/>
      <c r="I22" s="116" t="s">
        <v>121</v>
      </c>
      <c r="J22" s="531">
        <f>IF(OR($C$15&gt;0,'ovládací prvky'!$C$6=3),0,'Výpočet ceny distribuce'!F25)</f>
        <v>0</v>
      </c>
      <c r="K22" s="105">
        <f t="shared" si="4"/>
        <v>519</v>
      </c>
      <c r="L22" s="105" t="str">
        <f t="shared" si="3"/>
        <v>do 200 000</v>
      </c>
      <c r="M22" s="105"/>
      <c r="N22" s="138">
        <f t="shared" si="5"/>
        <v>44927</v>
      </c>
      <c r="O22" s="138">
        <f t="shared" si="6"/>
        <v>44957</v>
      </c>
      <c r="P22" s="139">
        <f t="shared" si="7"/>
        <v>0.4</v>
      </c>
      <c r="Q22" s="107"/>
      <c r="R22" s="107"/>
      <c r="S22" s="107"/>
      <c r="T22" s="107"/>
      <c r="U22" s="107"/>
      <c r="V22" s="142"/>
      <c r="W22" s="109"/>
      <c r="X22" s="99">
        <f>IF(H10="ANO",0,IF(AND($F$5="NGAS",$H$5="dálkovod"),AA22,IF(AND($F$5="NGAS",$H$5="místní síť"),AD22,IF(AND($F$5="EON",$H$5="dálkovod"),AG22,AJ22))))</f>
        <v>247.91817</v>
      </c>
      <c r="Y22" s="148">
        <f>IF(H10="ANO",0,IF(AND($F$5="NGAS",$H$5="dálkovod"),AB22,IF(AND($F$5="NGAS",$H$5="místní síť"),AE22,IF(AND($F$5="EON",$H$5="dálkovod"),AH22,AK22))))</f>
        <v>0</v>
      </c>
      <c r="Z22" s="577"/>
      <c r="AA22" s="558">
        <f t="shared" si="10"/>
        <v>207.07827</v>
      </c>
      <c r="AB22" s="148">
        <f t="shared" si="11"/>
        <v>0</v>
      </c>
      <c r="AC22" s="570"/>
      <c r="AD22" s="558">
        <f t="shared" si="12"/>
        <v>247.91817</v>
      </c>
      <c r="AE22" s="149">
        <f t="shared" si="13"/>
        <v>0</v>
      </c>
      <c r="AF22" s="143"/>
      <c r="AG22" s="558">
        <f t="shared" si="14"/>
        <v>274.68346000000003</v>
      </c>
      <c r="AH22" s="149">
        <f t="shared" si="8"/>
        <v>0</v>
      </c>
      <c r="AI22" s="150"/>
      <c r="AJ22" s="558">
        <f t="shared" si="15"/>
        <v>325.10365999999999</v>
      </c>
      <c r="AK22" s="149">
        <f t="shared" si="9"/>
        <v>0</v>
      </c>
      <c r="AM22" s="382">
        <f t="shared" si="2"/>
        <v>0</v>
      </c>
    </row>
    <row r="23" spans="1:39" s="56" customFormat="1" ht="15.6" x14ac:dyDescent="0.3">
      <c r="D23" s="151"/>
      <c r="E23" s="54" t="s">
        <v>122</v>
      </c>
      <c r="F23" s="152" t="s">
        <v>142</v>
      </c>
      <c r="G23" s="55"/>
      <c r="I23" s="116" t="s">
        <v>124</v>
      </c>
      <c r="J23" s="531">
        <f>IF(OR($C$15&gt;0,'ovládací prvky'!$C$6=3),0,'Výpočet ceny distribuce'!F26)</f>
        <v>0</v>
      </c>
      <c r="K23" s="105">
        <f t="shared" si="4"/>
        <v>519</v>
      </c>
      <c r="L23" s="105" t="str">
        <f t="shared" si="3"/>
        <v>do 200 000</v>
      </c>
      <c r="M23" s="105"/>
      <c r="N23" s="138">
        <f t="shared" si="5"/>
        <v>44927</v>
      </c>
      <c r="O23" s="138">
        <f t="shared" si="6"/>
        <v>44957</v>
      </c>
      <c r="P23" s="139">
        <f t="shared" si="7"/>
        <v>0.4</v>
      </c>
      <c r="Q23" s="107"/>
      <c r="R23" s="107"/>
      <c r="S23" s="107"/>
      <c r="T23" s="107"/>
      <c r="U23" s="107"/>
      <c r="V23" s="142"/>
      <c r="W23" s="109"/>
      <c r="X23" s="99">
        <f>IF(H10="ANO",0,IF(AND($F$5="NGAS",$H$5="dálkovod"),AA23,IF(AND($F$5="NGAS",$H$5="místní síť"),AD23,IF(AND($F$5="EON",$H$5="dálkovod"),AG23,AJ23))))</f>
        <v>247.91817</v>
      </c>
      <c r="Y23" s="148">
        <f>IF(H10="ANO",0,IF(AND($F$5="NGAS",$H$5="dálkovod"),AB23,IF(AND($F$5="NGAS",$H$5="místní síť"),AE23,IF(AND($F$5="EON",$H$5="dálkovod"),AH23,AK23))))</f>
        <v>0</v>
      </c>
      <c r="Z23" s="577"/>
      <c r="AA23" s="558">
        <f t="shared" si="10"/>
        <v>207.07827</v>
      </c>
      <c r="AB23" s="148">
        <f t="shared" si="11"/>
        <v>0</v>
      </c>
      <c r="AC23" s="570"/>
      <c r="AD23" s="558">
        <f t="shared" si="12"/>
        <v>247.91817</v>
      </c>
      <c r="AE23" s="149">
        <f t="shared" si="13"/>
        <v>0</v>
      </c>
      <c r="AF23" s="143"/>
      <c r="AG23" s="558">
        <f t="shared" si="14"/>
        <v>274.68346000000003</v>
      </c>
      <c r="AH23" s="149">
        <f t="shared" si="8"/>
        <v>0</v>
      </c>
      <c r="AI23" s="150"/>
      <c r="AJ23" s="558">
        <f t="shared" si="15"/>
        <v>325.10365999999999</v>
      </c>
      <c r="AK23" s="149">
        <f t="shared" si="9"/>
        <v>0</v>
      </c>
      <c r="AM23" s="382">
        <f t="shared" si="2"/>
        <v>0</v>
      </c>
    </row>
    <row r="24" spans="1:39" s="56" customFormat="1" ht="15.6" x14ac:dyDescent="0.3">
      <c r="D24" s="151"/>
      <c r="E24" s="55"/>
      <c r="F24" s="55"/>
      <c r="G24" s="55"/>
      <c r="I24" s="116" t="s">
        <v>125</v>
      </c>
      <c r="J24" s="531">
        <f>IF(OR($C$15&gt;0,'ovládací prvky'!$C$6=3),0,'Výpočet ceny distribuce'!F27)</f>
        <v>0</v>
      </c>
      <c r="K24" s="105">
        <f t="shared" si="4"/>
        <v>519</v>
      </c>
      <c r="L24" s="105" t="str">
        <f t="shared" si="3"/>
        <v>do 200 000</v>
      </c>
      <c r="M24" s="105"/>
      <c r="N24" s="138">
        <f t="shared" si="5"/>
        <v>44927</v>
      </c>
      <c r="O24" s="138">
        <f t="shared" si="6"/>
        <v>44957</v>
      </c>
      <c r="P24" s="139">
        <f t="shared" si="7"/>
        <v>0.4</v>
      </c>
      <c r="Q24" s="107"/>
      <c r="R24" s="107"/>
      <c r="S24" s="107"/>
      <c r="T24" s="107"/>
      <c r="U24" s="107"/>
      <c r="V24" s="142"/>
      <c r="W24" s="109"/>
      <c r="X24" s="99">
        <f>IF(H10="ANO",0,IF(AND($F$5="NGAS",$H$5="dálkovod"),AA24,IF(AND($F$5="NGAS",$H$5="místní síť"),AD24,IF(AND($F$5="EON",$H$5="dálkovod"),AG24,AJ24))))</f>
        <v>247.91817</v>
      </c>
      <c r="Y24" s="148">
        <f>IF(H10="ANO",0,IF(AND($F$5="NGAS",$H$5="dálkovod"),AB24,IF(AND($F$5="NGAS",$H$5="místní síť"),AE24,IF(AND($F$5="EON",$H$5="dálkovod"),AH24,AK24))))</f>
        <v>0</v>
      </c>
      <c r="Z24" s="577"/>
      <c r="AA24" s="558">
        <f t="shared" si="10"/>
        <v>207.07827</v>
      </c>
      <c r="AB24" s="148">
        <f t="shared" si="11"/>
        <v>0</v>
      </c>
      <c r="AC24" s="570"/>
      <c r="AD24" s="558">
        <f t="shared" si="12"/>
        <v>247.91817</v>
      </c>
      <c r="AE24" s="149">
        <f t="shared" si="13"/>
        <v>0</v>
      </c>
      <c r="AF24" s="143"/>
      <c r="AG24" s="558">
        <f t="shared" si="14"/>
        <v>274.68346000000003</v>
      </c>
      <c r="AH24" s="149">
        <f t="shared" si="8"/>
        <v>0</v>
      </c>
      <c r="AI24" s="150"/>
      <c r="AJ24" s="558">
        <f t="shared" si="15"/>
        <v>325.10365999999999</v>
      </c>
      <c r="AK24" s="149">
        <f t="shared" si="9"/>
        <v>0</v>
      </c>
      <c r="AM24" s="382">
        <f t="shared" si="2"/>
        <v>0</v>
      </c>
    </row>
    <row r="25" spans="1:39" s="56" customFormat="1" ht="16.2" thickBot="1" x14ac:dyDescent="0.35">
      <c r="D25" s="151"/>
      <c r="E25" s="55"/>
      <c r="F25" s="55"/>
      <c r="G25" s="55"/>
      <c r="I25" s="153" t="s">
        <v>126</v>
      </c>
      <c r="J25" s="532">
        <f>IF(OR($C$15&gt;0,'ovládací prvky'!$C$6=3),0,'Výpočet ceny distribuce'!F28)</f>
        <v>0</v>
      </c>
      <c r="K25" s="154">
        <f t="shared" si="4"/>
        <v>519</v>
      </c>
      <c r="L25" s="154" t="str">
        <f t="shared" si="3"/>
        <v>do 200 000</v>
      </c>
      <c r="M25" s="154"/>
      <c r="N25" s="155">
        <f t="shared" si="5"/>
        <v>44927</v>
      </c>
      <c r="O25" s="156">
        <f t="shared" si="6"/>
        <v>44957</v>
      </c>
      <c r="P25" s="139">
        <f t="shared" si="7"/>
        <v>0.4</v>
      </c>
      <c r="Q25" s="157"/>
      <c r="R25" s="157"/>
      <c r="S25" s="157"/>
      <c r="T25" s="157"/>
      <c r="U25" s="157"/>
      <c r="V25" s="158"/>
      <c r="W25" s="159"/>
      <c r="X25" s="160">
        <f>IF(H10="ANO",0,IF(AND($F$5="NGAS",$H$5="dálkovod"),AA25,IF(AND($F$5="NGAS",$H$5="místní síť"),AD25,IF(AND($F$5="EON",$H$5="dálkovod"),AG25,AJ25))))</f>
        <v>247.91817</v>
      </c>
      <c r="Y25" s="161">
        <f>IF(H10="ANO",0,IF(AND($F$5="NGAS",$H$5="dálkovod"),AB25,IF(AND($F$5="NGAS",$H$5="místní síť"),AE25,IF(AND($F$5="EON",$H$5="dálkovod"),AH25,AK25))))</f>
        <v>0</v>
      </c>
      <c r="Z25" s="162"/>
      <c r="AA25" s="558">
        <f>ROUND(IF($L25="&gt; 600 000",((($G$45+$I$45*LN($K25))*200000)+(($V$44*$U$44*$S$46)/1000*400000)+(($V$44*$U$44*$T$46)/1000*($K25-600000)))/$K25,IF($L25="&gt; 200 000",((($G$45+$I$45*LN($K25))*200000)+(($V$44*$U$44*$S$45)/1000*($K25-200000)))/$K25,$G$45+$I$45*LN($K25))),5)</f>
        <v>207.07827</v>
      </c>
      <c r="AB25" s="161">
        <f t="shared" si="11"/>
        <v>0</v>
      </c>
      <c r="AC25" s="571"/>
      <c r="AD25" s="558">
        <f t="shared" si="12"/>
        <v>247.91817</v>
      </c>
      <c r="AE25" s="163">
        <f t="shared" si="13"/>
        <v>0</v>
      </c>
      <c r="AF25" s="564"/>
      <c r="AG25" s="558">
        <f>ROUND(IF($L25="&gt; 600 000",((($G$46+$I$46*LN($K25))*200000)+(($V$44*$U$44*$S$46)/1000*400000)+(($V$44*$U$44*$T$46)/1000*($K25-600000)))/$K25,IF($L25="&gt; 200 000",((($G$46+$I$46*LN($K25))*200000)+(($V$44*$U$44*$S$45)/1000*($K25-200000)))/$K25,$G$46+$I$46*LN($K25))),5)</f>
        <v>274.68346000000003</v>
      </c>
      <c r="AH25" s="163">
        <f t="shared" si="8"/>
        <v>0</v>
      </c>
      <c r="AI25" s="164"/>
      <c r="AJ25" s="558">
        <f>ROUND(IF($L25="&gt; 600 000",((($L$46+$N$46*LN($K25))*200000)+(($V$44*$U$44*$S$51)/1000*400000)+(($V$44*$U$44*$T$51)/1000*($K25-600000)))/$K25,IF($L25="&gt; 200 000",((($L$46+$N$46*LN($K25))*200000)+(($V$44*$U$44*$S$50)/1000*($K25-200000)))/$K25,$L$46+$N$46*LN($K25))),5)</f>
        <v>325.10365999999999</v>
      </c>
      <c r="AK25" s="163">
        <f t="shared" si="9"/>
        <v>0</v>
      </c>
      <c r="AM25" s="382">
        <f t="shared" si="2"/>
        <v>0</v>
      </c>
    </row>
    <row r="26" spans="1:39" s="56" customFormat="1" ht="18" customHeight="1" x14ac:dyDescent="0.3">
      <c r="D26" s="151"/>
      <c r="E26" s="55"/>
      <c r="F26" s="55"/>
      <c r="G26" s="734" t="s">
        <v>127</v>
      </c>
      <c r="H26" s="165">
        <f>IF(AND($F$18&gt;$N$26-1,$F$18&lt;$O$26+1),$J$26,0)</f>
        <v>0</v>
      </c>
      <c r="I26" s="81" t="s">
        <v>128</v>
      </c>
      <c r="J26" s="392">
        <f>'Výpočet ceny distribuce'!F29</f>
        <v>0</v>
      </c>
      <c r="K26" s="166">
        <f>IF(OR(MONTH($N26)=MONTH($F$7),MONTH($O26)=MONTH($G$7)),IF($F$11=0,IF(SUM($J$13:$J$25)+SUM($Q26:$U26)&lt;$E$56,$E$56,SUM($J$13:$J$25)+SUM($Q26:$U26)),IF($H$16+SUM($J$16:$J$25)+SUM($Q26:$U26)&lt;$E$56,$E$56,($H$16+SUM($J$16:$J$25)+SUM($Q26:$U26)))),0)</f>
        <v>519</v>
      </c>
      <c r="L26" s="166" t="str">
        <f t="shared" si="3"/>
        <v>do 200 000</v>
      </c>
      <c r="M26" s="166"/>
      <c r="N26" s="393">
        <f>'Výpočet ceny distribuce'!D31</f>
        <v>0</v>
      </c>
      <c r="O26" s="393">
        <f>'Výpočet ceny distribuce'!E31</f>
        <v>0</v>
      </c>
      <c r="P26" s="167">
        <f>VLOOKUP($F$6,$E$60:$I$71,5,FALSE)</f>
        <v>0.72</v>
      </c>
      <c r="Q26" s="168">
        <f>IF(OR(MONTH($N26)=MONTH($F$7),MONTH($O26)=MONTH($G$7)),$J$26,0)</f>
        <v>0</v>
      </c>
      <c r="R26" s="168">
        <f>IF(OR(MONTH($N27)=MONTH($F$7),MONTH($O27)=MONTH($G$7)),IF(AND($N$26&lt;=$O$27,$N$26&gt;=$N$27),$J$27,0),0)</f>
        <v>0</v>
      </c>
      <c r="S26" s="168">
        <f>IF(OR(MONTH($N28)=MONTH($F$7),MONTH($O28)=MONTH($G$7)),IF(AND($N$26&lt;=$O$28,$N$26&gt;=$N$28),$J$28,0),0)</f>
        <v>0</v>
      </c>
      <c r="T26" s="168">
        <f>IF(OR(MONTH($N29)=MONTH($F$7),MONTH($O29)=MONTH($G$7)),IF(AND($N$26&lt;=$O$29,$N$26&gt;=$N$29),$J$29,0),0)</f>
        <v>0</v>
      </c>
      <c r="U26" s="168">
        <f>IF(OR(MONTH($N30)=MONTH($F$7),MONTH($O30)=MONTH($G$7)),IF(AND($N$26&lt;=$O$30,$N$26&gt;=$N$30),$J$30,0),0)</f>
        <v>0</v>
      </c>
      <c r="V26" s="169">
        <f>IF(ROUND(IF(O26&gt;$G$7,$G$7-(IF($N26&lt;$F$7,$F$7,$N26))+1,O26-IF($N26&lt;$F$7,$F$7,$N26)+1)/VLOOKUP($F$6,$E$60:$F$71,2,FALSE)*P26,5)&lt;0,0,ROUND(IF(O26&gt;$G$7,$G$7-(IF($N26&lt;$F$7,$F$7,$N26))+1,O26-IF($N26&lt;$F$7,$F$7,$N26)+1)/VLOOKUP($F$6,$E$60:$F$71,2,FALSE)*P26,5))</f>
        <v>0</v>
      </c>
      <c r="W26" s="170">
        <f>IF(AND($F$5="NGAS",$H$5="dálkovod"),Z26,IF(AND($F$5="NGAS",$H$5="místní síť"),AC26,IF(AND($F$5="EON",$H$5="dálkovod"),AF26,AI26)))</f>
        <v>0</v>
      </c>
      <c r="X26" s="86">
        <f>IF(H10="ANO",0,IF(AND($F$5="NGAS",$H$5="dálkovod"),AA26,IF(AND($F$5="NGAS",$H$5="místní síť"),AD26,IF(AND($F$5="EON",$H$5="dálkovod"),AG26,AJ26))))</f>
        <v>0</v>
      </c>
      <c r="Y26" s="171">
        <f>IF(H10="ANO",0,IF(AND($F$5="NGAS",$H$5="dálkovod"),AB26,IF(AND($F$5="NGAS",$H$5="místní síť"),AE26,IF(AND($F$5="EON",$H$5="dálkovod"),AH26,AK26))))</f>
        <v>0</v>
      </c>
      <c r="Z26" s="578"/>
      <c r="AA26" s="561">
        <f>IF($V26=0,0,ROUND(IF($L26="&gt; 600 000",((($G$45+$I$45*LN($K26))*200000)+(($V$44*$U$44*$S$46)/1000*400000)+(($V$44*$U$44*$T$46)/1000*($K26-600000)))/$K26,IF($L26="&gt; 200 000",((($G$45+$I$45*LN($K26))*200000)+(($V$44*$U$44*$S$45)/1000*($K26-200000)))/$K26,$G$45+$I$45*LN($K26))),5))</f>
        <v>0</v>
      </c>
      <c r="AB26" s="171">
        <f>ROUND(AA26*V26*J26,2)</f>
        <v>0</v>
      </c>
      <c r="AC26" s="565"/>
      <c r="AD26" s="561">
        <f>IF($V26=0,0,ROUND(IF($L26="&gt; 600 000",((($L$45+$N$45*LN($K26))*200000)+(($V$44*$U$44*$S$51)/1000*400000)+(($V$44*$U$44*$T$51)/1000*($K26-600000)))/$K26,IF($L26="&gt; 200 000",((($L$45+$N$45*LN($K26))*200000)+(($V$44*$U$44*$S$50)/1000*($K26-200000)))/$K26,$L$45+$N$45*LN($K26))),5))</f>
        <v>0</v>
      </c>
      <c r="AE26" s="172">
        <f>ROUND(AD26*V26*J26,2)</f>
        <v>0</v>
      </c>
      <c r="AF26" s="565"/>
      <c r="AG26" s="561">
        <f>IF($V26=0,0,ROUND(IF($L26="&gt; 600 000",((($G$46+$I$46*LN($K26))*200000)+(($V$44*$U$44*$S$46)/1000*400000)+(($V$44*$U$44*$T$46)/1000*($K26-600000)))/$K26,IF($L26="&gt; 200 000",((($G$46+$I$46*LN($K26))*200000)+(($V$44*$U$44*$S$45)/1000*($K26-200000)))/$K26,$G$46+$I$46*LN($K26))),5))</f>
        <v>0</v>
      </c>
      <c r="AH26" s="172">
        <f>ROUND(AG26*V26*J26,2)</f>
        <v>0</v>
      </c>
      <c r="AI26" s="588"/>
      <c r="AJ26" s="561">
        <f>IF($V26=0,0,ROUND(IF($L26="&gt; 600 000",((($L$46+$N$46*LN($K26))*200000)+(($V$44*$U$44*$S$51)/1000*400000)+(($V$44*$U$44*$T$51)/1000*($K26-600000)))/$K26,IF($L26="&gt; 200 000",((($L$46+$N$46*LN($K26))*200000)+(($V$44*$U$44*$S$50)/1000*($K26-200000)))/$K26,$L$46+$N$46*LN($K26))),5))</f>
        <v>0</v>
      </c>
      <c r="AK26" s="171">
        <f>ROUND(AJ26*V26*J26,2)</f>
        <v>0</v>
      </c>
      <c r="AM26" s="382">
        <f t="shared" si="2"/>
        <v>0</v>
      </c>
    </row>
    <row r="27" spans="1:39" s="56" customFormat="1" ht="19.5" customHeight="1" x14ac:dyDescent="0.3">
      <c r="E27" s="55"/>
      <c r="F27" s="55"/>
      <c r="G27" s="734"/>
      <c r="H27" s="165">
        <f>IF(AND($F$18&gt;$N$27-1,$F$18&lt;$O$27+1),$J$27,0)</f>
        <v>0</v>
      </c>
      <c r="I27" s="116" t="s">
        <v>129</v>
      </c>
      <c r="J27" s="394">
        <f>'Výpočet ceny distribuce'!F32</f>
        <v>0</v>
      </c>
      <c r="K27" s="166">
        <f>IF(OR(MONTH($N27)=MONTH($F$7),MONTH($O27)=MONTH($G$7)),IF($F$11=0,IF(SUM($J$13:$J$25)+SUM($Q27:$U27)&lt;$E$56,$E$56,SUM($J$13:$J$25)+SUM($Q27:$U27)),IF($H$16+SUM($J$16:$J$25)+SUM($Q27:$U27)&lt;$E$56,$E$56,($H$16+SUM($J$16:$J$25)+SUM($Q27:$U27)))),0)</f>
        <v>519</v>
      </c>
      <c r="L27" s="105" t="str">
        <f t="shared" si="3"/>
        <v>do 200 000</v>
      </c>
      <c r="M27" s="173"/>
      <c r="N27" s="395">
        <f>'Výpočet ceny distribuce'!D34</f>
        <v>0</v>
      </c>
      <c r="O27" s="395">
        <f>'Výpočet ceny distribuce'!E34</f>
        <v>0</v>
      </c>
      <c r="P27" s="174">
        <f>VLOOKUP($F$6,$E$60:$I$71,5,FALSE)</f>
        <v>0.72</v>
      </c>
      <c r="Q27" s="175">
        <f>IF(OR(MONTH($N26)=MONTH($F$7),MONTH($O26)=MONTH($G$7)),IF(AND($N$27&lt;=$O$26,$N$27&gt;=$N$26),$J$26,0),0)</f>
        <v>0</v>
      </c>
      <c r="R27" s="175">
        <f>IF(OR(MONTH($N27)=MONTH($F$7),MONTH($O27)=MONTH($G$7)),$J$27,0)</f>
        <v>0</v>
      </c>
      <c r="S27" s="175">
        <f>IF(OR(MONTH($N28)=MONTH($F$7),MONTH($O28)=MONTH($G$7)),IF(AND($N$27&lt;=$O$28,$N$27&gt;=$N$28),$J$28,0),0)</f>
        <v>0</v>
      </c>
      <c r="T27" s="175">
        <f>IF(OR(MONTH($N29)=MONTH($F$7),MONTH($O29)=MONTH($G$7)),IF(AND($N$27&lt;=$O$29,$N$27&gt;=$N$29),$J$29,0),0)</f>
        <v>0</v>
      </c>
      <c r="U27" s="175">
        <f>IF(OR(MONTH($N30)=MONTH($F$7),MONTH($O30)=MONTH($G$7)),IF(AND($N$27&lt;=$O$30,$N$27&gt;=$N$30),$J$30,0),0)</f>
        <v>0</v>
      </c>
      <c r="V27" s="176">
        <f>IF(ROUND(IF(O27&gt;$G$7,$G$7-(IF($N27&lt;$F$7,$F$7,$N27))+1,O27-IF($N27&lt;$F$7,$F$7,$N27)+1)/VLOOKUP($F$6,$E$60:$F$71,2,FALSE)*P27,5)&lt;0,0,ROUND(IF(O27&gt;$G$7,$G$7-(IF($N27&lt;$F$7,$F$7,$N27))+1,O27-IF($N27&lt;$F$7,$F$7,$N27)+1)/VLOOKUP($F$6,$E$60:$F$71,2,FALSE)*P27,5))</f>
        <v>0</v>
      </c>
      <c r="W27" s="177">
        <f>IF(AND($F$5="NGAS",$H$5="dálkovod"),Z27,IF(AND($F$5="NGAS",$H$5="místní síť"),AC27,IF(AND($F$5="EON",$H$5="dálkovod"),AF27,AI27)))</f>
        <v>0</v>
      </c>
      <c r="X27" s="99">
        <f>IF(H10="ANO",0,IF(AND($F$5="NGAS",$H$5="dálkovod"),AA27,IF(AND($F$5="NGAS",$H$5="místní síť"),AD27,IF(AND($F$5="EON",$H$5="dálkovod"),AG27,AJ27))))</f>
        <v>0</v>
      </c>
      <c r="Y27" s="148">
        <f>IF(H10="ANO",0,IF(AND($F$5="NGAS",$H$5="dálkovod"),AB27,IF(AND($F$5="NGAS",$H$5="místní síť"),AE27,IF(AND($F$5="EON",$H$5="dálkovod"),AH27,AK27))))</f>
        <v>0</v>
      </c>
      <c r="Z27" s="579"/>
      <c r="AA27" s="557">
        <f t="shared" ref="AA27:AA30" si="16">IF($V27=0,0,ROUND(IF($L27="&gt; 600 000",((($G$45+$I$45*LN($K27))*200000)+(($V$44*$U$44*$S$46)/1000*400000)+(($V$44*$U$44*$T$46)/1000*($K27-600000)))/$K27,IF($L27="&gt; 200 000",((($G$45+$I$45*LN($K27))*200000)+(($V$44*$U$44*$S$45)/1000*($K27-200000)))/$K27,$G$45+$I$45*LN($K27))),5))</f>
        <v>0</v>
      </c>
      <c r="AB27" s="580">
        <f>ROUND(AA27*V27*J27,2)</f>
        <v>0</v>
      </c>
      <c r="AC27" s="565"/>
      <c r="AD27" s="557">
        <f>IF($V27=0,0,ROUND(IF($L27="&gt; 600 000",((($L$45+$N$45*LN($K27))*200000)+(($V$44*$U$44*$S$51)/1000*400000)+(($V$44*$U$44*$T$51)/1000*($K27-600000)))/$K27,IF($L27="&gt; 200 000",((($L$45+$N$45*LN($K27))*200000)+(($V$44*$U$44*$S$50)/1000*($K27-200000)))/$K27,$L$45+$N$45*LN($K27))),5))</f>
        <v>0</v>
      </c>
      <c r="AE27" s="149">
        <f>ROUND(AD27*V27*J27,2)</f>
        <v>0</v>
      </c>
      <c r="AF27" s="565"/>
      <c r="AG27" s="557">
        <f t="shared" ref="AG27:AG30" si="17">IF($V27=0,0,ROUND(IF($L27="&gt; 600 000",((($G$46+$I$46*LN($K27))*200000)+(($V$44*$U$44*$S$46)/1000*400000)+(($V$44*$U$44*$T$46)/1000*($K27-600000)))/$K27,IF($L27="&gt; 200 000",((($G$46+$I$46*LN($K27))*200000)+(($V$44*$U$44*$S$45)/1000*($K27-200000)))/$K27,$G$46+$I$46*LN($K27))),5))</f>
        <v>0</v>
      </c>
      <c r="AH27" s="149">
        <f>ROUND(AG27*V27*J27,2)</f>
        <v>0</v>
      </c>
      <c r="AI27" s="565"/>
      <c r="AJ27" s="557">
        <f t="shared" ref="AJ27:AJ30" si="18">IF($V27=0,0,ROUND(IF($L27="&gt; 600 000",((($L$46+$N$46*LN($K27))*200000)+(($V$44*$U$44*$S$51)/1000*400000)+(($V$44*$U$44*$T$51)/1000*($K27-600000)))/$K27,IF($L27="&gt; 200 000",((($L$46+$N$46*LN($K27))*200000)+(($V$44*$U$44*$S$50)/1000*($K27-200000)))/$K27,$L$46+$N$46*LN($K27))),5))</f>
        <v>0</v>
      </c>
      <c r="AK27" s="148">
        <f>ROUND(AJ27*V27*J27,2)</f>
        <v>0</v>
      </c>
      <c r="AM27" s="382">
        <f t="shared" si="2"/>
        <v>0</v>
      </c>
    </row>
    <row r="28" spans="1:39" s="56" customFormat="1" ht="14.4" customHeight="1" x14ac:dyDescent="0.3">
      <c r="E28" s="735" t="s">
        <v>130</v>
      </c>
      <c r="F28" s="736"/>
      <c r="G28" s="734"/>
      <c r="H28" s="165">
        <f>IF(AND($F$18&gt;$N$28-1,$F$18&lt;$O$28+1),$J$28,0)</f>
        <v>0</v>
      </c>
      <c r="I28" s="116" t="s">
        <v>131</v>
      </c>
      <c r="J28" s="394">
        <f>'Výpočet ceny distribuce'!F35</f>
        <v>0</v>
      </c>
      <c r="K28" s="166">
        <f>IF(OR(MONTH($N28)=MONTH($F$7),MONTH($O28)=MONTH($G$7)),IF($F$11=0,IF(SUM($J$13:$J$25)+SUM($Q28:$U28)&lt;$E$56,$E$56,SUM($J$13:$J$25)+SUM($Q28:$U28)),IF($H$16+SUM($J$16:$J$25)+SUM($Q28:$U28)&lt;$E$56,$E$56,($H$16+SUM($J$16:$J$25)+SUM($Q28:$U28)))),0)</f>
        <v>519</v>
      </c>
      <c r="L28" s="105" t="str">
        <f t="shared" si="3"/>
        <v>do 200 000</v>
      </c>
      <c r="M28" s="105"/>
      <c r="N28" s="395">
        <f>'Výpočet ceny distribuce'!D37</f>
        <v>0</v>
      </c>
      <c r="O28" s="395">
        <f>'Výpočet ceny distribuce'!E37</f>
        <v>0</v>
      </c>
      <c r="P28" s="174">
        <f>VLOOKUP($F$6,$E$60:$I$71,5,FALSE)</f>
        <v>0.72</v>
      </c>
      <c r="Q28" s="175">
        <f>IF(OR(MONTH($N26)=MONTH($F$7),MONTH($O26)=MONTH($G$7)),IF(AND($N$28&lt;=$O$26,$N$28&gt;=$N$26),$J$26,0),0)</f>
        <v>0</v>
      </c>
      <c r="R28" s="175">
        <f>IF(OR(MONTH($N27)=MONTH($F$7),MONTH($O27)=MONTH($G$7)),IF(AND($N$28&lt;=$O$27,$N$28&gt;=$N$27),$J$27,0),0)</f>
        <v>0</v>
      </c>
      <c r="S28" s="175">
        <f>IF(OR(MONTH($N28)=MONTH($F$7),MONTH($O28)=MONTH($G$7)),$J$28,0)</f>
        <v>0</v>
      </c>
      <c r="T28" s="175">
        <f>IF(OR(MONTH($N29)=MONTH($F$7),MONTH($O29)=MONTH($G$7)),IF(AND($N$28&lt;=$O$29,$N$28&gt;=$N$29),$J$29,0),0)</f>
        <v>0</v>
      </c>
      <c r="U28" s="175">
        <f>IF(OR(MONTH($N30)=MONTH($F$7),MONTH($O30)=MONTH($G$7)),IF(AND($N$28&lt;=$O$30,$N$28&gt;=$N$30),$J$30,0),0)</f>
        <v>0</v>
      </c>
      <c r="V28" s="176">
        <f>IF(ROUND(IF(O28&gt;$G$7,$G$7-(IF($N28&lt;$F$7,$F$7,$N28))+1,O28-IF($N28&lt;$F$7,$F$7,$N28)+1)/VLOOKUP($F$6,$E$60:$F$71,2,FALSE)*P28,5)&lt;0,0,ROUND(IF(O28&gt;$G$7,$G$7-(IF($N28&lt;$F$7,$F$7,$N28))+1,O28-IF($N28&lt;$F$7,$F$7,$N28)+1)/VLOOKUP($F$6,$E$60:$F$71,2,FALSE)*P28,5))</f>
        <v>0</v>
      </c>
      <c r="W28" s="177">
        <f>IF(AND($F$5="NGAS",$H$5="dálkovod"),Z28,IF(AND($F$5="NGAS",$H$5="místní síť"),AC28,IF(AND($F$5="EON",$H$5="dálkovod"),AF28,AI28)))</f>
        <v>0</v>
      </c>
      <c r="X28" s="99">
        <f>IF(H10="ANO",0,IF(AND($F$5="NGAS",$H$5="dálkovod"),AA28,IF(AND($F$5="NGAS",$H$5="místní síť"),AD28,IF(AND($F$5="EON",$H$5="dálkovod"),AG28,AJ28))))</f>
        <v>0</v>
      </c>
      <c r="Y28" s="148">
        <f>IF(H10="ANO",0,IF(AND($F$5="NGAS",$H$5="dálkovod"),AB28,IF(AND($F$5="NGAS",$H$5="místní síť"),AE28,IF(AND($F$5="EON",$H$5="dálkovod"),AH28,AK28))))</f>
        <v>0</v>
      </c>
      <c r="Z28" s="579"/>
      <c r="AA28" s="557">
        <f t="shared" si="16"/>
        <v>0</v>
      </c>
      <c r="AB28" s="580">
        <f>ROUND(AA28*V28*J28,2)</f>
        <v>0</v>
      </c>
      <c r="AC28" s="565"/>
      <c r="AD28" s="557">
        <f t="shared" ref="AD28:AD30" si="19">IF($V28=0,0,ROUND(IF($L28="&gt; 600 000",((($L$45+$N$45*LN($K28))*200000)+(($V$44*$U$44*$S$51)/1000*400000)+(($V$44*$U$44*$T$51)/1000*($K28-600000)))/$K28,IF($L28="&gt; 200 000",((($L$45+$N$45*LN($K28))*200000)+(($V$44*$U$44*$S$50)/1000*($K28-200000)))/$K28,$L$45+$N$45*LN($K28))),5))</f>
        <v>0</v>
      </c>
      <c r="AE28" s="149">
        <f>ROUND(AD28*V28*J28,2)</f>
        <v>0</v>
      </c>
      <c r="AF28" s="565"/>
      <c r="AG28" s="557">
        <f t="shared" si="17"/>
        <v>0</v>
      </c>
      <c r="AH28" s="149">
        <f>ROUND(AG28*V28*J28,2)</f>
        <v>0</v>
      </c>
      <c r="AI28" s="565"/>
      <c r="AJ28" s="557">
        <f t="shared" si="18"/>
        <v>0</v>
      </c>
      <c r="AK28" s="148">
        <f>ROUND(AJ28*V28*J28,2)</f>
        <v>0</v>
      </c>
      <c r="AM28" s="382">
        <f t="shared" si="2"/>
        <v>0</v>
      </c>
    </row>
    <row r="29" spans="1:39" s="56" customFormat="1" ht="15.6" x14ac:dyDescent="0.3">
      <c r="E29" s="115" t="s">
        <v>101</v>
      </c>
      <c r="F29" s="105">
        <f>H37</f>
        <v>0</v>
      </c>
      <c r="G29" s="734"/>
      <c r="H29" s="165">
        <f>IF(AND($F$18&gt;$N$29-1,$F$18&lt;$O$29+1),$J$29,0)</f>
        <v>0</v>
      </c>
      <c r="I29" s="116" t="s">
        <v>132</v>
      </c>
      <c r="J29" s="394">
        <f>'Výpočet ceny distribuce'!F38</f>
        <v>0</v>
      </c>
      <c r="K29" s="166">
        <f>IF(OR(MONTH($N29)=MONTH($F$7),MONTH($O29)=MONTH($G$7)),IF($F$11=0,IF(SUM($J$13:$J$25)+SUM($Q29:$U29)&lt;$E$56,$E$56,SUM($J$13:$J$25)+SUM($Q29:$U29)),IF($H$16+SUM($J$16:$J$25)+SUM($Q29:$U29)&lt;$E$56,$E$56,($H$16+SUM($J$16:$J$25)+SUM($Q29:$U29)))),0)</f>
        <v>519</v>
      </c>
      <c r="L29" s="105" t="str">
        <f t="shared" si="3"/>
        <v>do 200 000</v>
      </c>
      <c r="M29" s="173"/>
      <c r="N29" s="395">
        <f>'Výpočet ceny distribuce'!D40</f>
        <v>0</v>
      </c>
      <c r="O29" s="395">
        <f>'Výpočet ceny distribuce'!E40</f>
        <v>0</v>
      </c>
      <c r="P29" s="174">
        <f>VLOOKUP($F$6,$E$60:$I$71,5,FALSE)</f>
        <v>0.72</v>
      </c>
      <c r="Q29" s="175">
        <f>IF(OR(MONTH($N26)=MONTH($F$7),MONTH($O26)=MONTH($G$7)),IF(AND($N$29&lt;=$O$26,$N$29&gt;=$N$26),$J$26,0),0)</f>
        <v>0</v>
      </c>
      <c r="R29" s="175">
        <f>IF(OR(MONTH($N27)=MONTH($F$7),MONTH($O27)=MONTH($G$7)),IF(AND($N$29&lt;=$O$27,$N$29&gt;=$N$27),$J$27,0),0)</f>
        <v>0</v>
      </c>
      <c r="S29" s="175">
        <f>IF(OR(MONTH($N28)=MONTH($F$7),MONTH($O28)=MONTH($G$7)),IF(AND($N$29&lt;=$O$28,$N$29&gt;=$N$28),$J$28,0),0)</f>
        <v>0</v>
      </c>
      <c r="T29" s="175">
        <f>IF(OR(MONTH($N29)=MONTH($F$7),MONTH($O29)=MONTH($G$7)),$J$29,0)</f>
        <v>0</v>
      </c>
      <c r="U29" s="175">
        <f>IF(OR(MONTH($N30)=MONTH($F$7),MONTH($O30)=MONTH($G$7)),IF(AND($N$29&lt;=$O$30,$N$29&gt;=$N$30),$J$30,0),0)</f>
        <v>0</v>
      </c>
      <c r="V29" s="176">
        <f>IF(ROUND(IF(O29&gt;$G$7,$G$7-(IF($N29&lt;$F$7,$F$7,$N29))+1,O29-IF($N29&lt;$F$7,$F$7,$N29)+1)/VLOOKUP($F$6,$E$60:$F$71,2,FALSE)*P29,5)&lt;0,0,ROUND(IF(O29&gt;$G$7,$G$7-(IF($N29&lt;$F$7,$F$7,$N29))+1,O29-IF($N29&lt;$F$7,$F$7,$N29)+1)/VLOOKUP($F$6,$E$60:$F$71,2,FALSE)*P29,5))</f>
        <v>0</v>
      </c>
      <c r="W29" s="177">
        <f>IF(AND($F$5="NGAS",$H$5="dálkovod"),Z29,IF(AND($F$5="NGAS",$H$5="místní síť"),AC29,IF(AND($F$5="EON",$H$5="dálkovod"),AF29,AI29)))</f>
        <v>0</v>
      </c>
      <c r="X29" s="99">
        <f>IF(H10="ANO",0,IF(AND($F$5="NGAS",$H$5="dálkovod"),AA29,IF(AND($F$5="NGAS",$H$5="místní síť"),AD29,IF(AND($F$5="EON",$H$5="dálkovod"),AG29,AJ29))))</f>
        <v>0</v>
      </c>
      <c r="Y29" s="148">
        <f>IF(H10="ANO",0,IF(AND($F$5="NGAS",$H$5="dálkovod"),AB29,IF(AND($F$5="NGAS",$H$5="místní síť"),AE29,IF(AND($F$5="EON",$H$5="dálkovod"),AH29,AK29))))</f>
        <v>0</v>
      </c>
      <c r="Z29" s="579"/>
      <c r="AA29" s="557">
        <f t="shared" si="16"/>
        <v>0</v>
      </c>
      <c r="AB29" s="580">
        <f>ROUND(AA29*V29*J29,2)</f>
        <v>0</v>
      </c>
      <c r="AC29" s="565"/>
      <c r="AD29" s="557">
        <f t="shared" si="19"/>
        <v>0</v>
      </c>
      <c r="AE29" s="149">
        <f>ROUND(AD29*V29*J29,2)</f>
        <v>0</v>
      </c>
      <c r="AF29" s="565"/>
      <c r="AG29" s="557">
        <f t="shared" si="17"/>
        <v>0</v>
      </c>
      <c r="AH29" s="149">
        <f>ROUND(AG29*V29*J29,2)</f>
        <v>0</v>
      </c>
      <c r="AI29" s="565"/>
      <c r="AJ29" s="557">
        <f t="shared" si="18"/>
        <v>0</v>
      </c>
      <c r="AK29" s="148">
        <f>ROUND(AJ29*V29*J29,2)</f>
        <v>0</v>
      </c>
      <c r="AM29" s="382">
        <f t="shared" si="2"/>
        <v>0</v>
      </c>
    </row>
    <row r="30" spans="1:39" s="56" customFormat="1" ht="16.2" thickBot="1" x14ac:dyDescent="0.35">
      <c r="E30" s="54" t="s">
        <v>104</v>
      </c>
      <c r="F30" s="121">
        <f>$F$29/100*3.8</f>
        <v>0</v>
      </c>
      <c r="G30" s="734"/>
      <c r="H30" s="165">
        <f>IF(AND($F$18&gt;$N$30-1,$F$18&lt;$O$30+1),$J$30,0)</f>
        <v>0</v>
      </c>
      <c r="I30" s="122" t="s">
        <v>133</v>
      </c>
      <c r="J30" s="396">
        <f>'Výpočet ceny distribuce'!F41</f>
        <v>0</v>
      </c>
      <c r="K30" s="166">
        <f>IF(OR(MONTH($N30)=MONTH($F$7),MONTH($O30)=MONTH($G$7)),IF($F$11=0,IF(SUM($J$13:$J$25)+SUM($Q30:$U30)&lt;$E$56,$E$56,SUM($J$13:$J$25)+SUM($Q30:$U30)),IF($H$16+SUM($J$16:$J$25)+SUM($Q30:$U30)&lt;$E$56,$E$56,($H$16+SUM($J$16:$J$25)+SUM($Q30:$U30)))),0)</f>
        <v>519</v>
      </c>
      <c r="L30" s="123" t="str">
        <f t="shared" si="3"/>
        <v>do 200 000</v>
      </c>
      <c r="M30" s="123"/>
      <c r="N30" s="397">
        <f>'Výpočet ceny distribuce'!D43</f>
        <v>0</v>
      </c>
      <c r="O30" s="398">
        <f>'Výpočet ceny distribuce'!E43</f>
        <v>0</v>
      </c>
      <c r="P30" s="178">
        <f>VLOOKUP($F$6,$E$60:$I$71,5,FALSE)</f>
        <v>0.72</v>
      </c>
      <c r="Q30" s="179">
        <f>IF(OR(MONTH($N26)=MONTH($F$7),MONTH($O26)=MONTH($G$7)),IF(AND($N$30&lt;=$O$26,$N$30&gt;=$N$26),$J$26,0),0)</f>
        <v>0</v>
      </c>
      <c r="R30" s="179">
        <f>IF(OR(MONTH($N27)=MONTH($F$7),MONTH($O27)=MONTH($G$7)),IF(AND($N$30&lt;=$O$27,$N$30&gt;=$N$27),$J$27,0),0)</f>
        <v>0</v>
      </c>
      <c r="S30" s="179">
        <f>IF(OR(MONTH($N28)=MONTH($F$7),MONTH($O28)=MONTH($G$7)),IF(AND($N$30&lt;=$O$28,$N$30&gt;=$N$28),$J$28,0),0)</f>
        <v>0</v>
      </c>
      <c r="T30" s="179">
        <f>IF(OR(MONTH($N29)=MONTH($F$7),MONTH($O29)=MONTH($G$7)),IF(AND($N$30&lt;=$O$29,$N$30&gt;=$N$29),$J$29,0),0)</f>
        <v>0</v>
      </c>
      <c r="U30" s="179">
        <f>IF(OR(MONTH($N30)=MONTH($F$7),MONTH($O30)=MONTH($G$7)),$J$30,0)</f>
        <v>0</v>
      </c>
      <c r="V30" s="180">
        <f>IF(ROUND(IF(O30&gt;$G$7,$G$7-(IF($N30&lt;$F$7,$F$7,$N30))+1,O30-IF($N30&lt;$F$7,$F$7,$N30)+1)/VLOOKUP($F$6,$E$60:$F$71,2,FALSE)*P30,5)&lt;0,0,ROUND(IF(O30&gt;$G$7,$G$7-(IF($N30&lt;$F$7,$F$7,$N30))+1,O30-IF($N30&lt;$F$7,$F$7,$N30)+1)/VLOOKUP($F$6,$E$60:$F$71,2,FALSE)*P30,5))</f>
        <v>0</v>
      </c>
      <c r="W30" s="181">
        <f>IF(H10="ANO",0,IF(AND($F$5="NGAS",$H$5="dálkovod"),Z30,IF(AND($F$5="NGAS",$H$5="místní síť"),AC30,IF(AND($F$5="EON",$H$5="dálkovod"),AF30,AI30))))</f>
        <v>0</v>
      </c>
      <c r="X30" s="128">
        <f t="shared" si="0"/>
        <v>0</v>
      </c>
      <c r="Y30" s="182">
        <f>IF(H10="ANO",0,IF(AND($F$5="NGAS",$H$5="dálkovod"),AB30,IF(AND($F$5="NGAS",$H$5="místní síť"),AE30,IF(AND($F$5="EON",$H$5="dálkovod"),AH30,AK30))))</f>
        <v>0</v>
      </c>
      <c r="Z30" s="578"/>
      <c r="AA30" s="562">
        <f t="shared" si="16"/>
        <v>0</v>
      </c>
      <c r="AB30" s="182">
        <f>ROUND(AA30*V30*J30,2)</f>
        <v>0</v>
      </c>
      <c r="AC30" s="587"/>
      <c r="AD30" s="562">
        <f t="shared" si="19"/>
        <v>0</v>
      </c>
      <c r="AE30" s="163">
        <f>ROUND(AD30*V30*J30,2)</f>
        <v>0</v>
      </c>
      <c r="AF30" s="587"/>
      <c r="AG30" s="562">
        <f t="shared" si="17"/>
        <v>0</v>
      </c>
      <c r="AH30" s="163">
        <f>ROUND(AG30*V30*J30,2)</f>
        <v>0</v>
      </c>
      <c r="AI30" s="587"/>
      <c r="AJ30" s="562">
        <f t="shared" si="18"/>
        <v>0</v>
      </c>
      <c r="AK30" s="161">
        <f>ROUND(AJ30*V30*J30,2)</f>
        <v>0</v>
      </c>
      <c r="AL30" s="183"/>
      <c r="AM30" s="382">
        <f t="shared" si="2"/>
        <v>0</v>
      </c>
    </row>
    <row r="31" spans="1:39" s="56" customFormat="1" ht="16.2" thickBot="1" x14ac:dyDescent="0.35">
      <c r="E31" s="54" t="s">
        <v>107</v>
      </c>
      <c r="F31" s="134">
        <f>$F$29+$F$30</f>
        <v>0</v>
      </c>
      <c r="H31" s="55"/>
      <c r="I31" s="184" t="s">
        <v>39</v>
      </c>
      <c r="J31" s="504">
        <f>IF(AND(H10="ANO",$F$7&lt;DATE(2022,7,1)),0,IF(AND($F$18&gt;$F$7-1,$F$18&lt;$G$7+1),$F$22,0))</f>
        <v>0</v>
      </c>
      <c r="K31" s="185">
        <f>IF((SUM(J13:J25)+(SUM(H26:H30)-J14))&lt;$E$56,$E$56,(SUM(J13:J25)+(SUM(H26:H30)-J14)))</f>
        <v>519</v>
      </c>
      <c r="L31" s="185"/>
      <c r="M31" s="185" t="str">
        <f>IF($H$10="ANO","do 200 000",IF((K31-$J$14)&gt;600000,"&gt; 600 000",IF((K31-$J$14)&gt;200000,"&gt; 200 000","do 200 000")))</f>
        <v>do 200 000</v>
      </c>
      <c r="N31" s="186"/>
      <c r="O31" s="187"/>
      <c r="P31" s="188">
        <f>VLOOKUP($F$6,$E$60:$G$71,3,FALSE)</f>
        <v>1.43</v>
      </c>
      <c r="Q31" s="189"/>
      <c r="R31" s="189"/>
      <c r="S31" s="189"/>
      <c r="T31" s="189"/>
      <c r="U31" s="189"/>
      <c r="V31" s="190"/>
      <c r="W31" s="191">
        <f>IF(AND($F$5="NGAS",$H$5="dálkovod"),$Z$31,IF(AND($F$5="NGAS",$H$5="místní síť"),$AC$31,IF(AND($F$5="EON",$H$5="dálkovod"),$AF$31,$AI$31)))</f>
        <v>0</v>
      </c>
      <c r="X31" s="192" t="s">
        <v>134</v>
      </c>
      <c r="Y31" s="182">
        <f t="shared" si="1"/>
        <v>0</v>
      </c>
      <c r="Z31" s="589">
        <f>IF($J$31=0,0,ROUND(IF($M31="&gt; 600 000",((($G$45+$I$45*LN($K31))*200000)+(($V$44*$U$44*$S$46)/1000*400000)+(($V$44*$U$44*$T$46)/1000*($K31-600000)))/$K31,IF($M31="&gt; 200 000",((($G$45+$I$45*LN($K31))*200000)+(($V$44*$U$44*$S$45)/1000*($K31-200000)))/$K31,$G$45+$I$45*LN($K31))),5))</f>
        <v>0</v>
      </c>
      <c r="AA31" s="563" t="s">
        <v>134</v>
      </c>
      <c r="AB31" s="581">
        <f>IF(F23="ano","",IF(F14="","",ROUND(J31*Z31*P31,2)))</f>
        <v>0</v>
      </c>
      <c r="AC31" s="590">
        <f>IF($J$31=0,0,ROUND(IF($M31="&gt; 600 000",((($L$45+$N$45*LN($K31))*200000)+(($V$44*$U$44*$S$51)/1000*400000)+(($V$44*$U$44*$T$51)/1000*($K31-600000)))/$K31,IF($M31="&gt; 200 000",((($L$45+$N$45*LN($K31))*200000)+(($V$44*$U$44*$S$50)/1000*($K31-200000)))/$K31,$L$45+$N$45*LN($K31))),5))</f>
        <v>0</v>
      </c>
      <c r="AD31" s="563" t="s">
        <v>134</v>
      </c>
      <c r="AE31" s="591">
        <f>IF(F23="ano","",IF(F14="","",ROUND(J31*AC31*P31,2)))</f>
        <v>0</v>
      </c>
      <c r="AF31" s="589">
        <f>IF($J$31=0,0,ROUND(IF($M31="&gt; 600 000",((($G$46+$I$46*LN($K31))*200000)+(($V$44*$U$44*$S$46)/1000*400000)+(($V$44*$U$44*$T$46)/1000*($K31-600000)))/$K31,IF($M31="&gt; 200 000",((($G$46+$I$46*LN($K31))*200000)+(($V$44*$U$44*$S$45)/1000*($K31-200000)))/$K31,$G$46+$I$46*LN($K31))),5))</f>
        <v>0</v>
      </c>
      <c r="AG31" s="563" t="s">
        <v>134</v>
      </c>
      <c r="AH31" s="591">
        <f>IF(F23="ano","",IF(F14="","",ROUND(J31*AF31*P31,2)))</f>
        <v>0</v>
      </c>
      <c r="AI31" s="589">
        <f>IF($J$31=0,0,ROUND(IF($M31="&gt; 600 000",((($L$46+$N$46*LN($K31))*200000)+(($V$44*$U$44*$S$51)/1000*400000)+(($V$44*$U$44*$T$51)/1000*($K31-600000)))/$K31,IF($M31="&gt; 200 000",((($L$46+$N$46*LN($K31))*200000)+(($V$44*$U$44*$S$50)/1000*($K31-200000)))/$K31,$L$46+$N$46*LN($K31))),5))</f>
        <v>0</v>
      </c>
      <c r="AJ31" s="563" t="s">
        <v>134</v>
      </c>
      <c r="AK31" s="591">
        <f>IF(F23="ano","",IF(F14="","",ROUND(J31*AI31*P31,2)))</f>
        <v>0</v>
      </c>
      <c r="AL31" s="92"/>
      <c r="AM31" s="382">
        <f t="shared" si="2"/>
        <v>0</v>
      </c>
    </row>
    <row r="32" spans="1:39" s="56" customFormat="1" ht="16.2" thickBot="1" x14ac:dyDescent="0.35">
      <c r="E32" s="54" t="s">
        <v>110</v>
      </c>
      <c r="F32" s="141">
        <f>F31/24</f>
        <v>0</v>
      </c>
      <c r="I32" s="193" t="s">
        <v>135</v>
      </c>
      <c r="J32" s="194">
        <f>IF(F10="ANO",0,$J$11)</f>
        <v>0</v>
      </c>
      <c r="K32" s="195"/>
      <c r="L32" s="195"/>
      <c r="M32" s="195"/>
      <c r="N32" s="196"/>
      <c r="O32" s="196"/>
      <c r="P32" s="197"/>
      <c r="Q32" s="198"/>
      <c r="R32" s="198"/>
      <c r="S32" s="198"/>
      <c r="T32" s="198"/>
      <c r="U32" s="198"/>
      <c r="V32" s="199"/>
      <c r="W32" s="200" t="s">
        <v>136</v>
      </c>
      <c r="X32" s="201">
        <f>$F$53</f>
        <v>1.83E-3</v>
      </c>
      <c r="Y32" s="202">
        <f>IF(AND($F$5="NGAS",$H$5="dálkovod"),AB32,IF(AND($F$5="NGAS",$H$5="místní síť"),AE32,IF(AND($F$5="EON",$H$5="dálkovod"),AH32,AK32)))</f>
        <v>0</v>
      </c>
      <c r="Z32" s="582" t="s">
        <v>136</v>
      </c>
      <c r="AA32" s="203">
        <f>$F$53</f>
        <v>1.83E-3</v>
      </c>
      <c r="AB32" s="204">
        <f>ROUND($J$32*AA32,2)</f>
        <v>0</v>
      </c>
      <c r="AC32" s="200" t="s">
        <v>136</v>
      </c>
      <c r="AD32" s="203">
        <f>$F$53</f>
        <v>1.83E-3</v>
      </c>
      <c r="AE32" s="205">
        <f>ROUND($J$32*AD32,2)</f>
        <v>0</v>
      </c>
      <c r="AF32" s="200" t="s">
        <v>136</v>
      </c>
      <c r="AG32" s="203">
        <f>$F$53</f>
        <v>1.83E-3</v>
      </c>
      <c r="AH32" s="205">
        <f>ROUND($J$32*AG32,2)</f>
        <v>0</v>
      </c>
      <c r="AI32" s="200" t="s">
        <v>136</v>
      </c>
      <c r="AJ32" s="203">
        <f>$F$53</f>
        <v>1.83E-3</v>
      </c>
      <c r="AK32" s="206">
        <f>ROUND($J$32*AJ32,2)</f>
        <v>0</v>
      </c>
      <c r="AM32" s="382">
        <f t="shared" si="2"/>
        <v>0</v>
      </c>
    </row>
    <row r="33" spans="1:37" s="56" customFormat="1" ht="15.6" x14ac:dyDescent="0.3">
      <c r="E33" s="145" t="s">
        <v>137</v>
      </c>
      <c r="F33" s="438">
        <f>'Výpočet ceny distribuce'!$E$46</f>
        <v>0</v>
      </c>
      <c r="I33" s="258" t="s">
        <v>138</v>
      </c>
      <c r="J33" s="259"/>
      <c r="K33" s="259"/>
      <c r="L33" s="259"/>
      <c r="M33" s="259"/>
      <c r="N33" s="259"/>
      <c r="O33" s="259"/>
      <c r="P33" s="259"/>
      <c r="Q33" s="259"/>
      <c r="R33" s="259"/>
      <c r="S33" s="259"/>
      <c r="T33" s="259"/>
      <c r="U33" s="259"/>
      <c r="V33" s="260"/>
      <c r="W33" s="719">
        <f>IF(AND($F$5="NGAS",$H$5="dálkovod"),AB33,IF(AND($F$5="NGAS",$H$5="místní síť"),AE33,IF(AND($F$5="EON",$H$5="dálkovod"),AH33,AK33)))</f>
        <v>0</v>
      </c>
      <c r="X33" s="720"/>
      <c r="Y33" s="721"/>
      <c r="Z33" s="583"/>
      <c r="AA33" s="207"/>
      <c r="AB33" s="584">
        <f>IF($H$10="ANO",AB11+AB32,SUM(AB11:AB32))</f>
        <v>0</v>
      </c>
      <c r="AC33" s="572"/>
      <c r="AD33" s="207"/>
      <c r="AE33" s="208">
        <f>IF(H10="ANO",AE11+AE32,SUM(AE11:AE32))</f>
        <v>0</v>
      </c>
      <c r="AF33" s="209"/>
      <c r="AG33" s="210"/>
      <c r="AH33" s="211">
        <f>IF(H10="ANO",AH11+AH32,SUM(AH11:AH32))</f>
        <v>0</v>
      </c>
      <c r="AI33" s="212"/>
      <c r="AJ33" s="212"/>
      <c r="AK33" s="213">
        <f>IF(H10="ANO",AK11+AK32,SUM(AK11:AK32))</f>
        <v>0</v>
      </c>
    </row>
    <row r="34" spans="1:37" s="56" customFormat="1" ht="16.2" thickBot="1" x14ac:dyDescent="0.35">
      <c r="E34" s="54" t="s">
        <v>117</v>
      </c>
      <c r="F34" s="439" t="str">
        <f>IF(OR($F$29=0,$F$29=""),"",($F$33/$F$29)-100%)</f>
        <v/>
      </c>
      <c r="I34" s="253" t="s">
        <v>139</v>
      </c>
      <c r="J34" s="254"/>
      <c r="K34" s="254"/>
      <c r="L34" s="254"/>
      <c r="M34" s="254"/>
      <c r="N34" s="254"/>
      <c r="O34" s="254"/>
      <c r="P34" s="254"/>
      <c r="Q34" s="254"/>
      <c r="R34" s="254"/>
      <c r="S34" s="254"/>
      <c r="T34" s="254"/>
      <c r="U34" s="254"/>
      <c r="V34" s="255"/>
      <c r="W34" s="739">
        <f>IF(AND($F$5="NGAS",$H$5="dálkovod"),AB34,IF(AND($F$5="NGAS",$H$5="místní síť"),AE34,IF(AND($F$5="EON",$H$5="dálkovod"),AH34,AK34)))</f>
        <v>0</v>
      </c>
      <c r="X34" s="740"/>
      <c r="Y34" s="741"/>
      <c r="Z34" s="585"/>
      <c r="AA34" s="214"/>
      <c r="AB34" s="586">
        <f>AB33*1.21</f>
        <v>0</v>
      </c>
      <c r="AC34" s="573"/>
      <c r="AD34" s="214"/>
      <c r="AE34" s="215">
        <f>AE33*1.21</f>
        <v>0</v>
      </c>
      <c r="AF34" s="216"/>
      <c r="AG34" s="216"/>
      <c r="AH34" s="217">
        <f>AH33*1.21</f>
        <v>0</v>
      </c>
      <c r="AI34" s="218"/>
      <c r="AJ34" s="218"/>
      <c r="AK34" s="219">
        <f>AK33*1.21</f>
        <v>0</v>
      </c>
    </row>
    <row r="35" spans="1:37" s="56" customFormat="1" ht="15" thickBot="1" x14ac:dyDescent="0.35">
      <c r="E35" s="54" t="s">
        <v>140</v>
      </c>
      <c r="F35" s="54">
        <f>IF($F$34&gt;3.8%,$F$33-$F$31,0)</f>
        <v>0</v>
      </c>
      <c r="I35" s="55"/>
      <c r="J35" s="55"/>
      <c r="P35" s="43"/>
      <c r="Q35" s="55"/>
      <c r="R35" s="55"/>
      <c r="S35" s="55"/>
      <c r="T35" s="55"/>
      <c r="U35" s="55"/>
      <c r="V35" s="55"/>
      <c r="W35" s="55"/>
      <c r="X35" s="55"/>
      <c r="Y35" s="55"/>
      <c r="Z35" s="55"/>
      <c r="AA35" s="55"/>
      <c r="AB35" s="55"/>
      <c r="AC35" s="55"/>
      <c r="AD35" s="55"/>
      <c r="AE35" s="220"/>
      <c r="AF35" s="55"/>
      <c r="AG35" s="55"/>
      <c r="AH35" s="55"/>
      <c r="AI35" s="55"/>
      <c r="AJ35" s="55"/>
      <c r="AK35" s="55"/>
    </row>
    <row r="36" spans="1:37" s="56" customFormat="1" ht="28.8" x14ac:dyDescent="0.3">
      <c r="E36" s="54" t="s">
        <v>120</v>
      </c>
      <c r="F36" s="54">
        <f>IF($F$34&gt;3.8%,$F$33-F29,0)</f>
        <v>0</v>
      </c>
      <c r="G36" s="55"/>
      <c r="H36" s="55"/>
      <c r="I36" s="221" t="s">
        <v>141</v>
      </c>
      <c r="J36" s="83" t="s">
        <v>19</v>
      </c>
      <c r="K36" s="83" t="s">
        <v>80</v>
      </c>
      <c r="L36" s="222" t="s">
        <v>88</v>
      </c>
      <c r="M36" s="223" t="s">
        <v>89</v>
      </c>
      <c r="N36" s="67" t="s">
        <v>394</v>
      </c>
      <c r="O36" s="83" t="s">
        <v>19</v>
      </c>
      <c r="P36" s="223" t="s">
        <v>89</v>
      </c>
      <c r="Q36" s="55"/>
      <c r="R36" s="55"/>
      <c r="S36" s="55"/>
      <c r="T36" s="55"/>
      <c r="U36" s="55"/>
      <c r="V36" s="43"/>
      <c r="W36" s="55"/>
      <c r="X36" s="55"/>
      <c r="Y36" s="55"/>
      <c r="Z36" s="55"/>
      <c r="AA36" s="55"/>
      <c r="AB36" s="55"/>
      <c r="AC36" s="55"/>
      <c r="AD36" s="55"/>
      <c r="AE36" s="55"/>
      <c r="AF36" s="55"/>
      <c r="AG36" s="55"/>
      <c r="AH36" s="55"/>
      <c r="AI36" s="55"/>
      <c r="AJ36" s="55"/>
      <c r="AK36" s="55"/>
    </row>
    <row r="37" spans="1:37" s="56" customFormat="1" ht="43.2" customHeight="1" x14ac:dyDescent="0.3">
      <c r="E37" s="54" t="s">
        <v>122</v>
      </c>
      <c r="F37" s="152" t="s">
        <v>142</v>
      </c>
      <c r="G37" s="93" t="s">
        <v>95</v>
      </c>
      <c r="H37" s="93">
        <f>IF($F$11="0",J37+O38,(J37+O38)/(1-$F$11))</f>
        <v>0</v>
      </c>
      <c r="I37" s="116" t="s">
        <v>99</v>
      </c>
      <c r="J37" s="438">
        <f>'Výpočet ceny distribuce'!F16</f>
        <v>0</v>
      </c>
      <c r="K37" s="121"/>
      <c r="L37" s="121">
        <f>E54</f>
        <v>1.2999999999999999E-2</v>
      </c>
      <c r="M37" s="224">
        <f>ROUND(L37*J37/12/$F$8*$F$9,2)</f>
        <v>0</v>
      </c>
      <c r="N37" s="116" t="s">
        <v>102</v>
      </c>
      <c r="O37" s="438">
        <f>'Výpočet ceny distribuce'!F18</f>
        <v>0</v>
      </c>
      <c r="P37" s="54">
        <f>ROUND(L37*O37/12/$F$8*$F$9,2)</f>
        <v>0</v>
      </c>
      <c r="Q37" s="55"/>
      <c r="R37" s="55"/>
      <c r="S37" s="55"/>
      <c r="T37" s="55"/>
      <c r="U37" s="55"/>
      <c r="V37" s="55"/>
      <c r="W37" s="55"/>
      <c r="X37" s="55"/>
      <c r="Y37" s="55"/>
      <c r="Z37" s="55"/>
      <c r="AA37" s="55"/>
      <c r="AB37" s="55"/>
      <c r="AC37" s="55"/>
      <c r="AD37" s="55"/>
      <c r="AE37" s="55"/>
      <c r="AF37" s="55"/>
      <c r="AG37" s="55"/>
      <c r="AH37" s="55"/>
      <c r="AI37" s="55"/>
      <c r="AJ37" s="55"/>
      <c r="AK37" s="55"/>
    </row>
    <row r="38" spans="1:37" s="56" customFormat="1" ht="15" thickBot="1" x14ac:dyDescent="0.35">
      <c r="E38" s="225"/>
      <c r="F38" s="55"/>
      <c r="G38" s="55"/>
      <c r="H38" s="55"/>
      <c r="I38" s="153" t="s">
        <v>39</v>
      </c>
      <c r="J38" s="226">
        <f>F36</f>
        <v>0</v>
      </c>
      <c r="K38" s="226">
        <f>VLOOKUP($F$6,$E$60:$G$71,3,FALSE)</f>
        <v>1.43</v>
      </c>
      <c r="L38" s="226">
        <f>E54</f>
        <v>1.2999999999999999E-2</v>
      </c>
      <c r="M38" s="227">
        <f>IF(F37="ano",0,ROUND(J38*L38*K38,2))</f>
        <v>0</v>
      </c>
      <c r="N38" s="104" t="s">
        <v>34</v>
      </c>
      <c r="O38" s="438">
        <f>'Výpočet ceny distribuce'!F19</f>
        <v>0</v>
      </c>
      <c r="P38" s="54">
        <f>ROUND(L38*O38*$P$16/$F$8*$F$9,2)</f>
        <v>0</v>
      </c>
      <c r="Q38" s="55"/>
      <c r="R38" s="55"/>
      <c r="S38" s="55"/>
      <c r="T38" s="55"/>
      <c r="U38" s="55"/>
      <c r="V38" s="55"/>
      <c r="W38" s="55"/>
      <c r="X38" s="55"/>
      <c r="Y38" s="55"/>
      <c r="Z38" s="55"/>
      <c r="AA38" s="55"/>
      <c r="AB38" s="55"/>
      <c r="AC38" s="55"/>
      <c r="AD38" s="55"/>
      <c r="AE38" s="55"/>
      <c r="AF38" s="55"/>
      <c r="AG38" s="55"/>
      <c r="AH38" s="55"/>
      <c r="AI38" s="55"/>
      <c r="AJ38" s="55"/>
      <c r="AK38" s="55"/>
    </row>
    <row r="39" spans="1:37" s="56" customFormat="1" ht="28.8" x14ac:dyDescent="0.3">
      <c r="E39" s="225"/>
      <c r="F39" s="55"/>
      <c r="G39" s="55"/>
      <c r="H39" s="55"/>
      <c r="I39" s="228" t="s">
        <v>138</v>
      </c>
      <c r="J39" s="229"/>
      <c r="K39" s="229"/>
      <c r="L39" s="230"/>
      <c r="M39" s="231">
        <f>M38+M37+P37</f>
        <v>0</v>
      </c>
      <c r="N39" s="67" t="s">
        <v>392</v>
      </c>
      <c r="O39" s="438">
        <f>'Výpočet ceny distribuce'!F17</f>
        <v>0</v>
      </c>
      <c r="P39" s="520">
        <f>ROUND(O39*$L$37/12/$F$8*$F$9,2)</f>
        <v>0</v>
      </c>
      <c r="Q39" s="55"/>
      <c r="R39" s="55"/>
      <c r="S39" s="55"/>
      <c r="T39" s="55"/>
      <c r="U39" s="55"/>
      <c r="V39" s="55"/>
      <c r="W39" s="55"/>
      <c r="X39" s="232"/>
      <c r="Y39" s="232"/>
      <c r="Z39" s="232"/>
      <c r="AA39" s="232"/>
      <c r="AB39" s="232"/>
      <c r="AC39" s="232"/>
      <c r="AD39" s="232"/>
      <c r="AE39" s="232"/>
      <c r="AF39" s="232"/>
      <c r="AG39" s="232"/>
      <c r="AH39" s="232"/>
      <c r="AI39" s="55"/>
      <c r="AJ39" s="55"/>
      <c r="AK39" s="55"/>
    </row>
    <row r="40" spans="1:37" s="56" customFormat="1" ht="29.4" thickBot="1" x14ac:dyDescent="0.35">
      <c r="E40" s="55"/>
      <c r="F40" s="55"/>
      <c r="G40" s="55"/>
      <c r="H40" s="55"/>
      <c r="I40" s="233" t="s">
        <v>143</v>
      </c>
      <c r="J40" s="126"/>
      <c r="K40" s="126"/>
      <c r="L40" s="124"/>
      <c r="M40" s="234">
        <f>M39*1.21</f>
        <v>0</v>
      </c>
      <c r="N40" s="67" t="s">
        <v>393</v>
      </c>
      <c r="O40" s="521">
        <v>100</v>
      </c>
      <c r="P40" s="54">
        <f>ROUND(L37*O40/12/$F$8*$F$9,2)</f>
        <v>0.11</v>
      </c>
      <c r="Q40" s="55"/>
      <c r="R40" s="55"/>
      <c r="S40" s="55"/>
      <c r="T40" s="55"/>
      <c r="U40" s="55"/>
      <c r="V40" s="55"/>
      <c r="W40" s="55"/>
      <c r="X40" s="232"/>
      <c r="Y40" s="232"/>
      <c r="Z40" s="232"/>
      <c r="AA40" s="232"/>
      <c r="AB40" s="232"/>
      <c r="AC40" s="232"/>
      <c r="AD40" s="232"/>
      <c r="AE40" s="232"/>
      <c r="AF40" s="232"/>
      <c r="AG40" s="232"/>
      <c r="AH40" s="232"/>
      <c r="AI40" s="55"/>
      <c r="AJ40" s="55"/>
      <c r="AK40" s="55"/>
    </row>
    <row r="41" spans="1:37" s="235" customFormat="1" x14ac:dyDescent="0.3">
      <c r="A41" s="750" t="s">
        <v>406</v>
      </c>
      <c r="B41" s="750"/>
      <c r="C41" s="750"/>
      <c r="D41" s="750"/>
      <c r="E41" s="750"/>
      <c r="F41" s="750"/>
      <c r="G41" s="750"/>
      <c r="H41" s="750"/>
      <c r="I41" s="750"/>
      <c r="J41" s="750"/>
      <c r="K41" s="750"/>
      <c r="L41" s="750"/>
      <c r="M41" s="750"/>
      <c r="N41" s="750"/>
      <c r="O41" s="750"/>
      <c r="P41" s="750"/>
      <c r="Q41" s="750"/>
      <c r="R41" s="750"/>
      <c r="S41" s="750"/>
      <c r="T41" s="750"/>
      <c r="U41" s="750"/>
      <c r="V41" s="750"/>
      <c r="W41" s="750"/>
      <c r="X41" s="750"/>
      <c r="Y41" s="750"/>
      <c r="Z41" s="236"/>
      <c r="AA41" s="237"/>
      <c r="AB41" s="237"/>
      <c r="AC41" s="237"/>
      <c r="AD41" s="237"/>
      <c r="AE41" s="237"/>
      <c r="AF41" s="237"/>
      <c r="AG41" s="237"/>
      <c r="AH41" s="237"/>
      <c r="AI41" s="237"/>
      <c r="AJ41" s="237"/>
      <c r="AK41" s="237"/>
    </row>
    <row r="42" spans="1:37" s="56" customFormat="1" ht="72" x14ac:dyDescent="0.3">
      <c r="B42" s="55"/>
      <c r="C42" s="55"/>
      <c r="D42" s="54" t="s">
        <v>144</v>
      </c>
      <c r="E42" s="742" t="s">
        <v>2</v>
      </c>
      <c r="F42" s="743"/>
      <c r="G42" s="743"/>
      <c r="H42" s="743"/>
      <c r="I42" s="744"/>
      <c r="J42" s="742" t="s">
        <v>3</v>
      </c>
      <c r="K42" s="743"/>
      <c r="L42" s="743"/>
      <c r="M42" s="743"/>
      <c r="N42" s="743"/>
      <c r="O42" s="256"/>
      <c r="P42" s="257"/>
      <c r="Q42" s="55"/>
      <c r="R42" s="55"/>
      <c r="S42" s="55"/>
      <c r="T42" s="55"/>
      <c r="U42" s="55"/>
      <c r="V42" s="55"/>
      <c r="W42" s="55"/>
      <c r="X42" s="55"/>
      <c r="Y42" s="55"/>
      <c r="Z42" s="55"/>
      <c r="AA42" s="55"/>
      <c r="AB42" s="55"/>
      <c r="AC42" s="55"/>
      <c r="AD42" s="55"/>
      <c r="AE42" s="55"/>
      <c r="AF42" s="55"/>
      <c r="AG42" s="55"/>
      <c r="AH42" s="55"/>
      <c r="AI42" s="55"/>
      <c r="AJ42" s="55"/>
      <c r="AK42" s="55"/>
    </row>
    <row r="43" spans="1:37" s="56" customFormat="1" ht="72" x14ac:dyDescent="0.3">
      <c r="B43" s="55"/>
      <c r="C43" s="55"/>
      <c r="D43" s="361">
        <v>44927</v>
      </c>
      <c r="E43" s="745" t="s">
        <v>145</v>
      </c>
      <c r="F43" s="746"/>
      <c r="G43" s="747" t="s">
        <v>407</v>
      </c>
      <c r="H43" s="748"/>
      <c r="I43" s="749"/>
      <c r="J43" s="745" t="s">
        <v>145</v>
      </c>
      <c r="K43" s="746"/>
      <c r="L43" s="747" t="s">
        <v>407</v>
      </c>
      <c r="M43" s="748"/>
      <c r="N43" s="749"/>
      <c r="O43" s="55"/>
      <c r="P43" s="55"/>
      <c r="Q43" s="553" t="s">
        <v>408</v>
      </c>
      <c r="R43" s="554" t="s">
        <v>146</v>
      </c>
      <c r="S43" s="54" t="s">
        <v>404</v>
      </c>
      <c r="T43" s="54" t="s">
        <v>405</v>
      </c>
      <c r="U43" s="54" t="s">
        <v>402</v>
      </c>
      <c r="V43" s="593" t="s">
        <v>168</v>
      </c>
      <c r="W43" s="55"/>
      <c r="Y43" s="55"/>
      <c r="Z43" s="55"/>
      <c r="AA43" s="55"/>
      <c r="AB43" s="55"/>
    </row>
    <row r="44" spans="1:37" s="56" customFormat="1" ht="15" customHeight="1" x14ac:dyDescent="0.3">
      <c r="B44" s="55"/>
      <c r="C44" s="55"/>
      <c r="D44" s="97" t="s">
        <v>147</v>
      </c>
      <c r="E44" s="97" t="s">
        <v>0</v>
      </c>
      <c r="F44" s="97" t="s">
        <v>148</v>
      </c>
      <c r="G44" s="238" t="s">
        <v>149</v>
      </c>
      <c r="H44" s="97" t="s">
        <v>150</v>
      </c>
      <c r="I44" s="238" t="s">
        <v>151</v>
      </c>
      <c r="J44" s="97" t="s">
        <v>0</v>
      </c>
      <c r="K44" s="97" t="s">
        <v>148</v>
      </c>
      <c r="L44" s="238" t="s">
        <v>149</v>
      </c>
      <c r="M44" s="97" t="s">
        <v>150</v>
      </c>
      <c r="N44" s="238" t="s">
        <v>151</v>
      </c>
      <c r="O44" s="55"/>
      <c r="P44" s="55"/>
      <c r="Q44" s="296" t="s">
        <v>152</v>
      </c>
      <c r="R44" s="296" t="s">
        <v>153</v>
      </c>
      <c r="S44" s="54" t="s">
        <v>409</v>
      </c>
      <c r="T44" s="58" t="s">
        <v>409</v>
      </c>
      <c r="U44" s="552">
        <v>10.69</v>
      </c>
      <c r="V44" s="596">
        <v>3520.26</v>
      </c>
      <c r="W44" s="55"/>
      <c r="X44" s="55"/>
      <c r="Y44" s="55"/>
      <c r="Z44" s="55"/>
      <c r="AA44" s="55"/>
      <c r="AB44" s="55"/>
    </row>
    <row r="45" spans="1:37" s="56" customFormat="1" ht="43.2" customHeight="1" x14ac:dyDescent="0.3">
      <c r="B45" s="55"/>
      <c r="C45" s="67" t="s">
        <v>42</v>
      </c>
      <c r="D45" s="97" t="s">
        <v>54</v>
      </c>
      <c r="E45" s="596">
        <v>16.3</v>
      </c>
      <c r="F45" s="145">
        <f t="shared" ref="F45:F51" si="20">E45/1000</f>
        <v>1.6300000000000002E-2</v>
      </c>
      <c r="G45" s="594">
        <v>314.47910000000002</v>
      </c>
      <c r="H45" s="595">
        <f>ROUND(G45*1.05,4)</f>
        <v>330.20310000000001</v>
      </c>
      <c r="I45" s="246">
        <v>-17.178899999999999</v>
      </c>
      <c r="J45" s="596">
        <v>43.12</v>
      </c>
      <c r="K45" s="239">
        <f t="shared" ref="K45:K50" si="21">J45/1000</f>
        <v>4.3119999999999999E-2</v>
      </c>
      <c r="L45" s="594">
        <v>355.31900000000002</v>
      </c>
      <c r="M45" s="595">
        <f>ROUND(L45*1.05,4)</f>
        <v>373.08499999999998</v>
      </c>
      <c r="N45" s="246">
        <v>-17.178899999999999</v>
      </c>
      <c r="O45" s="55"/>
      <c r="P45" s="232">
        <f>L45+N45*LN($K13)</f>
        <v>247.91816838148156</v>
      </c>
      <c r="Q45" s="145" t="s">
        <v>154</v>
      </c>
      <c r="R45" s="555" t="s">
        <v>411</v>
      </c>
      <c r="S45" s="596">
        <v>2.11</v>
      </c>
      <c r="T45" s="54" t="s">
        <v>409</v>
      </c>
      <c r="U45" s="54" t="s">
        <v>409</v>
      </c>
      <c r="V45" s="55"/>
      <c r="W45" s="55"/>
      <c r="X45" s="55"/>
      <c r="Y45" s="55"/>
      <c r="Z45" s="55"/>
      <c r="AA45" s="55"/>
      <c r="AB45" s="55"/>
    </row>
    <row r="46" spans="1:37" s="56" customFormat="1" ht="86.4" x14ac:dyDescent="0.3">
      <c r="B46" s="55"/>
      <c r="C46" s="67" t="s">
        <v>187</v>
      </c>
      <c r="D46" s="97" t="s">
        <v>155</v>
      </c>
      <c r="E46" s="596">
        <v>24.41</v>
      </c>
      <c r="F46" s="145">
        <f t="shared" si="20"/>
        <v>2.4410000000000001E-2</v>
      </c>
      <c r="G46" s="594">
        <v>315.79160000000002</v>
      </c>
      <c r="H46" s="595">
        <f>ROUND(G46*1.05,4)</f>
        <v>331.58120000000002</v>
      </c>
      <c r="I46" s="246">
        <v>-6.5753000000000004</v>
      </c>
      <c r="J46" s="596">
        <v>87.88</v>
      </c>
      <c r="K46" s="239">
        <f t="shared" si="21"/>
        <v>8.788E-2</v>
      </c>
      <c r="L46" s="594">
        <v>366.21179999999998</v>
      </c>
      <c r="M46" s="595">
        <f>ROUND(L46*1.05,4)</f>
        <v>384.5224</v>
      </c>
      <c r="N46" s="246">
        <v>-6.5753000000000004</v>
      </c>
      <c r="O46" s="55"/>
      <c r="P46" s="55"/>
      <c r="Q46" s="145" t="s">
        <v>156</v>
      </c>
      <c r="R46" s="556" t="s">
        <v>412</v>
      </c>
      <c r="S46" s="596">
        <v>2.11</v>
      </c>
      <c r="T46" s="596">
        <v>1.4</v>
      </c>
      <c r="U46" s="54" t="s">
        <v>409</v>
      </c>
      <c r="V46" s="55"/>
      <c r="W46" s="55"/>
      <c r="X46" s="55"/>
      <c r="Y46" s="55"/>
      <c r="Z46" s="55"/>
      <c r="AA46" s="55"/>
      <c r="AB46" s="55"/>
    </row>
    <row r="47" spans="1:37" s="56" customFormat="1" x14ac:dyDescent="0.3">
      <c r="B47" s="55"/>
      <c r="C47" s="55"/>
      <c r="D47" s="115" t="s">
        <v>157</v>
      </c>
      <c r="E47" s="596">
        <v>44.54</v>
      </c>
      <c r="F47" s="145">
        <f t="shared" si="20"/>
        <v>4.4539999999999996E-2</v>
      </c>
      <c r="G47" s="55"/>
      <c r="H47" s="55"/>
      <c r="I47" s="115" t="s">
        <v>157</v>
      </c>
      <c r="J47" s="596">
        <v>102.11</v>
      </c>
      <c r="K47" s="239">
        <f t="shared" si="21"/>
        <v>0.10211000000000001</v>
      </c>
      <c r="L47" s="55"/>
      <c r="M47" s="55"/>
      <c r="N47" s="55"/>
      <c r="O47" s="55"/>
      <c r="P47" s="55"/>
      <c r="Q47" s="55"/>
      <c r="R47" s="55"/>
      <c r="S47" s="55"/>
      <c r="T47" s="55"/>
      <c r="U47" s="55"/>
      <c r="V47" s="55"/>
      <c r="W47" s="55"/>
      <c r="X47" s="55"/>
      <c r="Y47" s="55"/>
      <c r="Z47" s="55"/>
      <c r="AA47" s="55"/>
      <c r="AB47" s="55"/>
    </row>
    <row r="48" spans="1:37" s="56" customFormat="1" ht="72" x14ac:dyDescent="0.3">
      <c r="B48" s="55"/>
      <c r="C48" s="55"/>
      <c r="D48" s="115" t="s">
        <v>158</v>
      </c>
      <c r="E48" s="596">
        <v>53.74</v>
      </c>
      <c r="F48" s="145">
        <f t="shared" si="20"/>
        <v>5.3740000000000003E-2</v>
      </c>
      <c r="G48" s="55"/>
      <c r="H48" s="55"/>
      <c r="I48" s="115" t="s">
        <v>158</v>
      </c>
      <c r="J48" s="596">
        <v>177.01</v>
      </c>
      <c r="K48" s="239">
        <f t="shared" si="21"/>
        <v>0.17701</v>
      </c>
      <c r="L48" s="55"/>
      <c r="M48" s="55"/>
      <c r="N48" s="55"/>
      <c r="O48" s="55"/>
      <c r="P48" s="55"/>
      <c r="Q48" s="553" t="s">
        <v>408</v>
      </c>
      <c r="R48" s="554" t="s">
        <v>162</v>
      </c>
      <c r="S48" s="54" t="s">
        <v>403</v>
      </c>
      <c r="T48" s="54" t="s">
        <v>405</v>
      </c>
      <c r="U48" s="55"/>
      <c r="V48" s="55"/>
      <c r="W48" s="55"/>
      <c r="X48" s="55"/>
      <c r="Y48" s="55"/>
      <c r="Z48" s="55"/>
      <c r="AA48" s="55"/>
      <c r="AB48" s="55"/>
    </row>
    <row r="49" spans="2:37" s="56" customFormat="1" ht="43.2" x14ac:dyDescent="0.3">
      <c r="B49" s="55"/>
      <c r="C49" s="737" t="s">
        <v>159</v>
      </c>
      <c r="D49" s="115" t="s">
        <v>43</v>
      </c>
      <c r="E49" s="596">
        <v>8.49</v>
      </c>
      <c r="F49" s="145">
        <f t="shared" si="20"/>
        <v>8.490000000000001E-3</v>
      </c>
      <c r="G49" s="55"/>
      <c r="H49" s="97" t="s">
        <v>54</v>
      </c>
      <c r="I49" s="115" t="s">
        <v>160</v>
      </c>
      <c r="J49" s="596">
        <f>E45</f>
        <v>16.3</v>
      </c>
      <c r="K49" s="145">
        <f t="shared" si="21"/>
        <v>1.6300000000000002E-2</v>
      </c>
      <c r="L49" s="55"/>
      <c r="M49" s="55"/>
      <c r="N49" s="55"/>
      <c r="O49" s="55"/>
      <c r="P49" s="55"/>
      <c r="Q49" s="145" t="s">
        <v>152</v>
      </c>
      <c r="R49" s="296" t="s">
        <v>165</v>
      </c>
      <c r="S49" s="54" t="s">
        <v>409</v>
      </c>
      <c r="T49" s="54" t="s">
        <v>409</v>
      </c>
      <c r="U49" s="55"/>
      <c r="V49" s="55"/>
      <c r="W49" s="55"/>
      <c r="X49" s="55"/>
      <c r="Y49" s="55"/>
      <c r="Z49" s="55"/>
      <c r="AA49" s="55"/>
      <c r="AB49" s="55"/>
    </row>
    <row r="50" spans="2:37" s="56" customFormat="1" ht="57.6" x14ac:dyDescent="0.3">
      <c r="B50" s="55"/>
      <c r="C50" s="737"/>
      <c r="D50" s="115" t="s">
        <v>161</v>
      </c>
      <c r="E50" s="596">
        <v>6.5</v>
      </c>
      <c r="F50" s="145">
        <f t="shared" si="20"/>
        <v>6.4999999999999997E-3</v>
      </c>
      <c r="G50" s="55"/>
      <c r="H50" s="97" t="s">
        <v>155</v>
      </c>
      <c r="I50" s="115" t="s">
        <v>160</v>
      </c>
      <c r="J50" s="596">
        <f>E46</f>
        <v>24.41</v>
      </c>
      <c r="K50" s="145">
        <f t="shared" si="21"/>
        <v>2.4410000000000001E-2</v>
      </c>
      <c r="L50" s="55"/>
      <c r="M50" s="55"/>
      <c r="N50" s="55"/>
      <c r="O50" s="55"/>
      <c r="P50" s="55"/>
      <c r="Q50" s="145" t="s">
        <v>154</v>
      </c>
      <c r="R50" s="555" t="s">
        <v>413</v>
      </c>
      <c r="S50" s="596">
        <v>2.89</v>
      </c>
      <c r="T50" s="54" t="s">
        <v>409</v>
      </c>
      <c r="U50" s="55"/>
      <c r="V50" s="55"/>
      <c r="W50" s="55"/>
      <c r="X50" s="55"/>
      <c r="Y50" s="55"/>
      <c r="Z50" s="55"/>
      <c r="AA50" s="55"/>
    </row>
    <row r="51" spans="2:37" s="56" customFormat="1" ht="86.4" x14ac:dyDescent="0.3">
      <c r="B51" s="55"/>
      <c r="C51" s="737"/>
      <c r="D51" s="115" t="s">
        <v>163</v>
      </c>
      <c r="E51" s="596">
        <v>4.51</v>
      </c>
      <c r="F51" s="145">
        <f t="shared" si="20"/>
        <v>4.5100000000000001E-3</v>
      </c>
      <c r="G51" s="55"/>
      <c r="H51" s="54" t="s">
        <v>164</v>
      </c>
      <c r="I51" s="54"/>
      <c r="J51" s="54"/>
      <c r="K51" s="55"/>
      <c r="L51" s="55"/>
      <c r="M51" s="55"/>
      <c r="N51" s="55"/>
      <c r="O51" s="55"/>
      <c r="P51" s="55"/>
      <c r="Q51" s="145" t="s">
        <v>156</v>
      </c>
      <c r="R51" s="556" t="s">
        <v>414</v>
      </c>
      <c r="S51" s="596">
        <v>2.89</v>
      </c>
      <c r="T51" s="596">
        <v>2.36</v>
      </c>
      <c r="U51" s="55"/>
      <c r="V51" s="55"/>
      <c r="W51" s="55"/>
      <c r="X51" s="55"/>
      <c r="Y51" s="55"/>
      <c r="Z51" s="55"/>
      <c r="AA51" s="55"/>
    </row>
    <row r="52" spans="2:37" s="56" customFormat="1" x14ac:dyDescent="0.3">
      <c r="B52" s="55"/>
      <c r="C52" s="240"/>
      <c r="D52" s="241"/>
      <c r="E52" s="598" t="s">
        <v>164</v>
      </c>
      <c r="F52" s="145"/>
      <c r="G52" s="55"/>
      <c r="H52" s="55"/>
      <c r="I52" s="55"/>
      <c r="J52" s="55"/>
      <c r="K52" s="55"/>
      <c r="L52" s="55"/>
      <c r="M52" s="55"/>
      <c r="N52" s="55"/>
      <c r="O52" s="55"/>
      <c r="P52" s="55"/>
      <c r="Q52" s="55"/>
      <c r="R52" s="55"/>
      <c r="S52" s="55"/>
      <c r="T52" s="55"/>
      <c r="U52" s="55"/>
      <c r="V52" s="55"/>
      <c r="W52" s="55"/>
      <c r="X52" s="55"/>
      <c r="Y52" s="55"/>
      <c r="Z52" s="55"/>
      <c r="AA52" s="55"/>
      <c r="AB52" s="55"/>
    </row>
    <row r="53" spans="2:37" s="56" customFormat="1" ht="28.8" x14ac:dyDescent="0.3">
      <c r="B53" s="55"/>
      <c r="C53" s="55"/>
      <c r="D53" s="242" t="s">
        <v>166</v>
      </c>
      <c r="E53" s="597">
        <f>H53+H54</f>
        <v>1.83</v>
      </c>
      <c r="F53" s="145">
        <f>E53/1000</f>
        <v>1.83E-3</v>
      </c>
      <c r="G53" s="243" t="s">
        <v>167</v>
      </c>
      <c r="H53" s="594">
        <v>0.49</v>
      </c>
      <c r="I53" s="55"/>
      <c r="J53" s="55"/>
      <c r="K53" s="55"/>
      <c r="O53" s="55"/>
      <c r="P53" s="55"/>
      <c r="Q53" s="55"/>
      <c r="R53" s="3"/>
      <c r="S53" s="55"/>
      <c r="T53" s="43"/>
      <c r="U53" s="55"/>
      <c r="V53" s="55"/>
      <c r="W53" s="55"/>
      <c r="X53" s="55"/>
      <c r="Y53" s="55"/>
      <c r="Z53" s="55"/>
      <c r="AA53" s="55"/>
      <c r="AB53" s="55"/>
    </row>
    <row r="54" spans="2:37" s="56" customFormat="1" ht="48.6" x14ac:dyDescent="0.3">
      <c r="B54" s="55"/>
      <c r="C54" s="55"/>
      <c r="D54" s="242" t="s">
        <v>141</v>
      </c>
      <c r="E54" s="244">
        <f>13/1000</f>
        <v>1.2999999999999999E-2</v>
      </c>
      <c r="F54" s="225" t="s">
        <v>169</v>
      </c>
      <c r="G54" s="245" t="s">
        <v>170</v>
      </c>
      <c r="H54" s="246">
        <v>1.34</v>
      </c>
      <c r="I54" s="55"/>
      <c r="J54" s="55"/>
      <c r="K54" s="55"/>
      <c r="L54" s="55"/>
      <c r="M54" s="55"/>
      <c r="N54" s="55"/>
      <c r="O54" s="55"/>
      <c r="P54" s="55"/>
      <c r="Q54" s="55"/>
      <c r="R54" s="55"/>
      <c r="S54" s="55"/>
      <c r="T54" s="55"/>
      <c r="U54" s="55"/>
      <c r="V54" s="55"/>
      <c r="W54" s="55"/>
      <c r="X54" s="55"/>
      <c r="Y54" s="55"/>
      <c r="Z54" s="55"/>
      <c r="AA54" s="55"/>
      <c r="AB54" s="55"/>
      <c r="AC54" s="55"/>
      <c r="AD54" s="55"/>
      <c r="AE54" s="55"/>
      <c r="AF54" s="55"/>
    </row>
    <row r="55" spans="2:37" s="56" customFormat="1" ht="28.8" x14ac:dyDescent="0.3">
      <c r="B55" s="55"/>
      <c r="C55" s="55"/>
      <c r="D55" s="97" t="s">
        <v>171</v>
      </c>
      <c r="E55" s="244" t="s">
        <v>172</v>
      </c>
      <c r="F55" s="22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row>
    <row r="56" spans="2:37" s="56" customFormat="1" ht="43.2" x14ac:dyDescent="0.3">
      <c r="B56" s="55"/>
      <c r="C56" s="55"/>
      <c r="D56" s="97" t="s">
        <v>173</v>
      </c>
      <c r="E56" s="244">
        <v>519</v>
      </c>
      <c r="F56" s="225"/>
      <c r="G56" s="55"/>
      <c r="H56" s="55"/>
      <c r="I56" s="55"/>
      <c r="J56" s="55"/>
      <c r="K56" s="55"/>
      <c r="L56" s="55"/>
      <c r="M56" s="55"/>
      <c r="N56" s="55"/>
      <c r="O56" s="55"/>
      <c r="P56" s="55"/>
      <c r="Q56" s="55"/>
      <c r="R56" s="55"/>
      <c r="S56" s="55"/>
      <c r="T56" s="55"/>
      <c r="U56" s="55"/>
      <c r="V56" s="55"/>
      <c r="W56" s="3"/>
      <c r="X56" s="55"/>
      <c r="Y56" s="43"/>
      <c r="Z56" s="55"/>
      <c r="AA56" s="55"/>
      <c r="AB56" s="55"/>
      <c r="AC56" s="55"/>
      <c r="AD56" s="55"/>
      <c r="AE56" s="55"/>
      <c r="AF56" s="55"/>
      <c r="AG56" s="55"/>
      <c r="AH56" s="55"/>
      <c r="AI56" s="55"/>
      <c r="AJ56" s="55"/>
      <c r="AK56" s="55"/>
    </row>
    <row r="57" spans="2:37" s="56" customFormat="1" x14ac:dyDescent="0.3">
      <c r="B57" s="55"/>
      <c r="C57" s="55"/>
      <c r="D57" s="55"/>
      <c r="E57" s="55"/>
      <c r="F57" s="55"/>
      <c r="G57" s="55"/>
      <c r="H57" s="55"/>
      <c r="I57" s="55"/>
      <c r="J57" s="55"/>
      <c r="K57" s="55"/>
      <c r="L57" s="55"/>
      <c r="M57" s="55"/>
      <c r="N57" s="55"/>
      <c r="O57" s="55"/>
      <c r="P57" s="55"/>
      <c r="Q57" s="55"/>
      <c r="R57" s="55"/>
      <c r="S57" s="55"/>
      <c r="T57" s="55"/>
      <c r="U57" s="55"/>
      <c r="V57" s="55"/>
      <c r="W57" s="3"/>
      <c r="X57" s="55"/>
      <c r="Y57" s="43"/>
      <c r="Z57" s="55"/>
      <c r="AA57" s="55"/>
      <c r="AB57" s="55"/>
      <c r="AC57" s="55"/>
      <c r="AD57" s="55"/>
      <c r="AE57" s="55"/>
      <c r="AF57" s="55"/>
      <c r="AG57" s="55"/>
      <c r="AH57" s="55"/>
      <c r="AI57" s="55"/>
      <c r="AJ57" s="55"/>
      <c r="AK57" s="55"/>
    </row>
    <row r="58" spans="2:37" s="56" customFormat="1" ht="28.8" x14ac:dyDescent="0.3">
      <c r="B58" s="55"/>
      <c r="C58" s="55"/>
      <c r="D58" s="55"/>
      <c r="E58" s="55"/>
      <c r="F58" s="55"/>
      <c r="G58" s="55"/>
      <c r="H58" s="55"/>
      <c r="I58" s="55"/>
      <c r="J58" s="55" t="s">
        <v>174</v>
      </c>
      <c r="K58" s="55"/>
      <c r="L58" s="55"/>
      <c r="M58" s="55"/>
      <c r="N58" s="247"/>
      <c r="O58" s="55"/>
      <c r="P58" s="55"/>
      <c r="Q58" s="55"/>
      <c r="R58" s="55"/>
      <c r="S58" s="55"/>
      <c r="T58" s="55"/>
      <c r="U58" s="247"/>
      <c r="V58" s="55"/>
      <c r="W58" s="55"/>
      <c r="X58" s="55"/>
      <c r="Y58" s="43"/>
      <c r="Z58" s="55"/>
      <c r="AA58" s="55"/>
      <c r="AB58" s="55"/>
      <c r="AC58" s="55"/>
      <c r="AD58" s="55"/>
      <c r="AE58" s="55"/>
      <c r="AF58" s="55"/>
      <c r="AG58" s="55"/>
      <c r="AH58" s="55"/>
      <c r="AI58" s="55"/>
      <c r="AJ58" s="55"/>
      <c r="AK58" s="55"/>
    </row>
    <row r="59" spans="2:37" s="56" customFormat="1" ht="43.2" x14ac:dyDescent="0.3">
      <c r="B59" s="55"/>
      <c r="C59" s="55"/>
      <c r="D59" s="55" t="s">
        <v>175</v>
      </c>
      <c r="E59" s="242" t="s">
        <v>176</v>
      </c>
      <c r="F59" s="242" t="s">
        <v>177</v>
      </c>
      <c r="G59" s="599" t="s">
        <v>39</v>
      </c>
      <c r="H59" s="599" t="s">
        <v>178</v>
      </c>
      <c r="I59" s="599" t="s">
        <v>179</v>
      </c>
      <c r="J59" s="55">
        <f>YEAR(D43)</f>
        <v>2023</v>
      </c>
      <c r="K59" s="55" t="s">
        <v>180</v>
      </c>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row>
    <row r="60" spans="2:37" s="56" customFormat="1" x14ac:dyDescent="0.3">
      <c r="B60" s="55"/>
      <c r="C60" s="55"/>
      <c r="D60" s="55">
        <v>1</v>
      </c>
      <c r="E60" s="145" t="s">
        <v>57</v>
      </c>
      <c r="F60" s="248">
        <f>DAY(EOMONTH(DATE(YEAR(D43),$D60,1),0))</f>
        <v>31</v>
      </c>
      <c r="G60" s="552">
        <v>1.43</v>
      </c>
      <c r="H60" s="600">
        <v>0.4</v>
      </c>
      <c r="I60" s="552">
        <v>0.72</v>
      </c>
      <c r="J60" s="247">
        <f>EOMONTH(DATE(YEAR(D43),$D60,1),0)</f>
        <v>44957</v>
      </c>
      <c r="K60" s="247">
        <f>J60-F60+1</f>
        <v>44927</v>
      </c>
      <c r="L60" s="247">
        <f>J60</f>
        <v>44957</v>
      </c>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row>
    <row r="61" spans="2:37" s="56" customFormat="1" x14ac:dyDescent="0.3">
      <c r="B61" s="55"/>
      <c r="C61" s="55"/>
      <c r="D61" s="55">
        <v>2</v>
      </c>
      <c r="E61" s="145" t="s">
        <v>59</v>
      </c>
      <c r="F61" s="248">
        <f>DAY(EOMONTH(DATE(YEAR(D43),$D61,1),0))</f>
        <v>28</v>
      </c>
      <c r="G61" s="552">
        <v>1.43</v>
      </c>
      <c r="H61" s="600">
        <v>0.4</v>
      </c>
      <c r="I61" s="552">
        <v>0.72</v>
      </c>
      <c r="J61" s="247">
        <f>EOMONTH(DATE(YEAR(D43),$D61,1),0)</f>
        <v>44985</v>
      </c>
      <c r="K61" s="247">
        <f t="shared" ref="K61:K71" si="22">J61-F61+1</f>
        <v>44958</v>
      </c>
      <c r="L61" s="247">
        <f t="shared" ref="L61:L71" si="23">J61</f>
        <v>44985</v>
      </c>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row>
    <row r="62" spans="2:37" s="56" customFormat="1" x14ac:dyDescent="0.3">
      <c r="B62" s="55"/>
      <c r="C62" s="55"/>
      <c r="D62" s="55">
        <v>3</v>
      </c>
      <c r="E62" s="145" t="s">
        <v>61</v>
      </c>
      <c r="F62" s="248">
        <f>DAY(EOMONTH(DATE(YEAR(D43),$D62,1),0))</f>
        <v>31</v>
      </c>
      <c r="G62" s="552">
        <v>0.71</v>
      </c>
      <c r="H62" s="600">
        <v>0.2</v>
      </c>
      <c r="I62" s="552">
        <v>0.28000000000000003</v>
      </c>
      <c r="J62" s="247">
        <f>EOMONTH(DATE(YEAR(D43),$D62,1),0)</f>
        <v>45016</v>
      </c>
      <c r="K62" s="247">
        <f t="shared" si="22"/>
        <v>44986</v>
      </c>
      <c r="L62" s="247">
        <f t="shared" si="23"/>
        <v>45016</v>
      </c>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row>
    <row r="63" spans="2:37" s="56" customFormat="1" x14ac:dyDescent="0.3">
      <c r="B63" s="55"/>
      <c r="C63" s="55"/>
      <c r="D63" s="55">
        <v>4</v>
      </c>
      <c r="E63" s="145" t="s">
        <v>67</v>
      </c>
      <c r="F63" s="248">
        <f>DAY(EOMONTH(DATE(YEAR(D43),$D63,1),0))</f>
        <v>30</v>
      </c>
      <c r="G63" s="552">
        <v>0.23</v>
      </c>
      <c r="H63" s="601">
        <v>8.3000000000000004E-2</v>
      </c>
      <c r="I63" s="246">
        <v>9.9599999999999994E-2</v>
      </c>
      <c r="J63" s="247">
        <f>EOMONTH(DATE(YEAR(D43),$D63,1),0)</f>
        <v>45046</v>
      </c>
      <c r="K63" s="247">
        <f t="shared" si="22"/>
        <v>45017</v>
      </c>
      <c r="L63" s="247">
        <f t="shared" si="23"/>
        <v>45046</v>
      </c>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row>
    <row r="64" spans="2:37" s="56" customFormat="1" x14ac:dyDescent="0.3">
      <c r="B64" s="55"/>
      <c r="C64" s="55"/>
      <c r="D64" s="55">
        <v>5</v>
      </c>
      <c r="E64" s="145" t="s">
        <v>71</v>
      </c>
      <c r="F64" s="248">
        <f>DAY(EOMONTH(DATE(YEAR(D43),$D64,1),0))</f>
        <v>31</v>
      </c>
      <c r="G64" s="552">
        <v>0.23</v>
      </c>
      <c r="H64" s="601">
        <v>8.3000000000000004E-2</v>
      </c>
      <c r="I64" s="246">
        <v>9.9599999999999994E-2</v>
      </c>
      <c r="J64" s="247">
        <f>EOMONTH(DATE(YEAR(D43),$D64,1),0)</f>
        <v>45077</v>
      </c>
      <c r="K64" s="247">
        <f t="shared" si="22"/>
        <v>45047</v>
      </c>
      <c r="L64" s="247">
        <f t="shared" si="23"/>
        <v>45077</v>
      </c>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row>
    <row r="65" spans="2:37" s="56" customFormat="1" x14ac:dyDescent="0.3">
      <c r="B65" s="55"/>
      <c r="C65" s="55"/>
      <c r="D65" s="55">
        <v>6</v>
      </c>
      <c r="E65" s="145" t="s">
        <v>91</v>
      </c>
      <c r="F65" s="248">
        <f>DAY(EOMONTH(DATE(YEAR(D43),$D65,1),0))</f>
        <v>30</v>
      </c>
      <c r="G65" s="552">
        <v>0.23</v>
      </c>
      <c r="H65" s="601">
        <v>8.3000000000000004E-2</v>
      </c>
      <c r="I65" s="246">
        <v>9.9599999999999994E-2</v>
      </c>
      <c r="J65" s="247">
        <f>EOMONTH(DATE(YEAR(D43),$D65,1),0)</f>
        <v>45107</v>
      </c>
      <c r="K65" s="247">
        <f t="shared" si="22"/>
        <v>45078</v>
      </c>
      <c r="L65" s="247">
        <f t="shared" si="23"/>
        <v>45107</v>
      </c>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row>
    <row r="66" spans="2:37" s="56" customFormat="1" x14ac:dyDescent="0.3">
      <c r="B66" s="55"/>
      <c r="C66" s="55"/>
      <c r="D66" s="55">
        <v>7</v>
      </c>
      <c r="E66" s="145" t="s">
        <v>94</v>
      </c>
      <c r="F66" s="248">
        <f>DAY(EOMONTH(DATE(YEAR(D43),$D66,1),0))</f>
        <v>31</v>
      </c>
      <c r="G66" s="552">
        <v>0.23</v>
      </c>
      <c r="H66" s="601">
        <v>8.3000000000000004E-2</v>
      </c>
      <c r="I66" s="246">
        <v>9.9599999999999994E-2</v>
      </c>
      <c r="J66" s="247">
        <f>EOMONTH(DATE(YEAR(D43),$D66,1),0)</f>
        <v>45138</v>
      </c>
      <c r="K66" s="247">
        <f t="shared" si="22"/>
        <v>45108</v>
      </c>
      <c r="L66" s="247">
        <f t="shared" si="23"/>
        <v>45138</v>
      </c>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row>
    <row r="67" spans="2:37" s="56" customFormat="1" x14ac:dyDescent="0.3">
      <c r="B67" s="55"/>
      <c r="C67" s="55"/>
      <c r="D67" s="55">
        <v>8</v>
      </c>
      <c r="E67" s="145" t="s">
        <v>97</v>
      </c>
      <c r="F67" s="248">
        <f>DAY(EOMONTH(DATE(YEAR(D43),$D67,1),0))</f>
        <v>31</v>
      </c>
      <c r="G67" s="552">
        <v>0.23</v>
      </c>
      <c r="H67" s="601">
        <v>8.3000000000000004E-2</v>
      </c>
      <c r="I67" s="246">
        <v>9.9599999999999994E-2</v>
      </c>
      <c r="J67" s="247">
        <f>EOMONTH(DATE(YEAR(D43),$D67,1),0)</f>
        <v>45169</v>
      </c>
      <c r="K67" s="247">
        <f t="shared" si="22"/>
        <v>45139</v>
      </c>
      <c r="L67" s="247">
        <f t="shared" si="23"/>
        <v>45169</v>
      </c>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row>
    <row r="68" spans="2:37" s="56" customFormat="1" x14ac:dyDescent="0.3">
      <c r="B68" s="55"/>
      <c r="C68" s="55"/>
      <c r="D68" s="55">
        <v>9</v>
      </c>
      <c r="E68" s="145" t="s">
        <v>100</v>
      </c>
      <c r="F68" s="248">
        <f>DAY(EOMONTH(DATE(YEAR(D43),$D68,1),0))</f>
        <v>30</v>
      </c>
      <c r="G68" s="552">
        <v>0.23</v>
      </c>
      <c r="H68" s="601">
        <v>8.3000000000000004E-2</v>
      </c>
      <c r="I68" s="246">
        <v>9.9599999999999994E-2</v>
      </c>
      <c r="J68" s="247">
        <f>EOMONTH(DATE(YEAR(D43),$D68,1),0)</f>
        <v>45199</v>
      </c>
      <c r="K68" s="247">
        <f t="shared" si="22"/>
        <v>45170</v>
      </c>
      <c r="L68" s="247">
        <f t="shared" si="23"/>
        <v>45199</v>
      </c>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row>
    <row r="69" spans="2:37" s="56" customFormat="1" x14ac:dyDescent="0.3">
      <c r="B69" s="55"/>
      <c r="C69" s="55"/>
      <c r="D69" s="55">
        <v>10</v>
      </c>
      <c r="E69" s="145" t="s">
        <v>103</v>
      </c>
      <c r="F69" s="248">
        <f>DAY(EOMONTH(DATE(YEAR(D43),$D69,1),0))</f>
        <v>31</v>
      </c>
      <c r="G69" s="552">
        <v>0.23</v>
      </c>
      <c r="H69" s="601">
        <v>8.3000000000000004E-2</v>
      </c>
      <c r="I69" s="246">
        <v>9.9599999999999994E-2</v>
      </c>
      <c r="J69" s="247">
        <f>EOMONTH(DATE(YEAR(D43),$D69,1),0)</f>
        <v>45230</v>
      </c>
      <c r="K69" s="247">
        <f t="shared" si="22"/>
        <v>45200</v>
      </c>
      <c r="L69" s="247">
        <f t="shared" si="23"/>
        <v>45230</v>
      </c>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row>
    <row r="70" spans="2:37" s="56" customFormat="1" x14ac:dyDescent="0.3">
      <c r="B70" s="55"/>
      <c r="C70" s="55"/>
      <c r="D70" s="55">
        <v>11</v>
      </c>
      <c r="E70" s="145" t="s">
        <v>106</v>
      </c>
      <c r="F70" s="248">
        <f>DAY(EOMONTH(DATE(YEAR(D43),$D70,1),0))</f>
        <v>30</v>
      </c>
      <c r="G70" s="552">
        <v>0.71</v>
      </c>
      <c r="H70" s="600">
        <v>0.2</v>
      </c>
      <c r="I70" s="552">
        <v>0.28000000000000003</v>
      </c>
      <c r="J70" s="247">
        <f>EOMONTH(DATE(YEAR(D43),$D70,1),0)</f>
        <v>45260</v>
      </c>
      <c r="K70" s="247">
        <f t="shared" si="22"/>
        <v>45231</v>
      </c>
      <c r="L70" s="247">
        <f t="shared" si="23"/>
        <v>45260</v>
      </c>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row>
    <row r="71" spans="2:37" s="56" customFormat="1" x14ac:dyDescent="0.3">
      <c r="B71" s="55"/>
      <c r="C71" s="55"/>
      <c r="D71" s="55">
        <v>12</v>
      </c>
      <c r="E71" s="145" t="s">
        <v>109</v>
      </c>
      <c r="F71" s="248">
        <f>DAY(EOMONTH(DATE(YEAR(D43),$D71,1),0))</f>
        <v>31</v>
      </c>
      <c r="G71" s="552">
        <v>1.43</v>
      </c>
      <c r="H71" s="600">
        <v>0.4</v>
      </c>
      <c r="I71" s="552">
        <v>0.72</v>
      </c>
      <c r="J71" s="247">
        <f>EOMONTH(DATE(YEAR(D43),$D71,1),0)</f>
        <v>45291</v>
      </c>
      <c r="K71" s="247">
        <f t="shared" si="22"/>
        <v>45261</v>
      </c>
      <c r="L71" s="247">
        <f t="shared" si="23"/>
        <v>45291</v>
      </c>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row>
    <row r="72" spans="2:37" s="56" customFormat="1" x14ac:dyDescent="0.3">
      <c r="B72" s="55"/>
      <c r="C72" s="55"/>
      <c r="D72" s="55"/>
      <c r="E72" s="55"/>
      <c r="F72" s="67">
        <f>SUM(F60:F71)</f>
        <v>365</v>
      </c>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row>
    <row r="73" spans="2:37" s="56" customFormat="1" x14ac:dyDescent="0.3">
      <c r="B73" s="55"/>
      <c r="C73" s="55"/>
      <c r="D73" s="55"/>
      <c r="E73" s="55"/>
      <c r="F73" s="55"/>
      <c r="G73" s="55"/>
      <c r="H73" s="55"/>
      <c r="I73" s="55"/>
      <c r="J73" s="55"/>
      <c r="K73" s="55"/>
      <c r="L73" s="55"/>
      <c r="M73" s="55"/>
      <c r="N73" s="55"/>
      <c r="O73" s="55"/>
      <c r="P73" s="55"/>
      <c r="Q73" s="55"/>
      <c r="R73" s="55"/>
      <c r="S73" s="55"/>
      <c r="T73" s="55"/>
      <c r="U73" s="43" t="s">
        <v>182</v>
      </c>
      <c r="V73" s="55"/>
      <c r="W73" s="55"/>
      <c r="X73" s="55"/>
      <c r="Y73" s="55"/>
      <c r="Z73" s="55"/>
      <c r="AA73" s="55"/>
      <c r="AB73" s="55"/>
      <c r="AC73" s="55"/>
      <c r="AD73" s="55"/>
      <c r="AE73" s="55"/>
      <c r="AF73" s="55"/>
      <c r="AG73" s="55"/>
      <c r="AH73" s="55"/>
      <c r="AI73" s="55"/>
      <c r="AJ73" s="55"/>
      <c r="AK73" s="55"/>
    </row>
    <row r="74" spans="2:37" s="56" customFormat="1" x14ac:dyDescent="0.3">
      <c r="B74" s="55"/>
      <c r="C74" s="55"/>
      <c r="D74" s="738"/>
      <c r="E74" s="55" t="s">
        <v>81</v>
      </c>
      <c r="F74" s="55" t="s">
        <v>82</v>
      </c>
      <c r="G74" s="55" t="s">
        <v>83</v>
      </c>
      <c r="H74" s="55" t="s">
        <v>84</v>
      </c>
      <c r="I74" s="55" t="s">
        <v>85</v>
      </c>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row>
    <row r="75" spans="2:37" s="56" customFormat="1" ht="57.6" x14ac:dyDescent="0.3">
      <c r="B75" s="55"/>
      <c r="C75" s="55"/>
      <c r="D75" s="738"/>
      <c r="E75" s="55" t="s">
        <v>181</v>
      </c>
      <c r="F75" s="55" t="s">
        <v>181</v>
      </c>
      <c r="G75" s="55" t="s">
        <v>181</v>
      </c>
      <c r="H75" s="55" t="s">
        <v>181</v>
      </c>
      <c r="I75" s="55" t="s">
        <v>181</v>
      </c>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row>
    <row r="76" spans="2:37" s="56" customFormat="1" ht="28.8" x14ac:dyDescent="0.3">
      <c r="B76" s="67" t="s">
        <v>183</v>
      </c>
      <c r="C76" s="55"/>
      <c r="D76" s="55"/>
      <c r="E76" s="249">
        <f>EOMONTH(E78,1)</f>
        <v>59</v>
      </c>
      <c r="F76" s="249">
        <f t="shared" ref="F76:H76" si="24">EOMONTH(F78,1)</f>
        <v>59</v>
      </c>
      <c r="G76" s="249">
        <f t="shared" si="24"/>
        <v>59</v>
      </c>
      <c r="H76" s="249">
        <f t="shared" si="24"/>
        <v>59</v>
      </c>
      <c r="I76" s="249">
        <f>EOMONTH(I78,1)</f>
        <v>59</v>
      </c>
      <c r="J76" s="43" t="s">
        <v>184</v>
      </c>
      <c r="K76" s="249"/>
      <c r="L76" s="249"/>
      <c r="M76" s="249"/>
      <c r="N76" s="376">
        <f>IF(MONTH('Klasik, CNG, M3R, výrobce'!F6=1),'Klasik, CNG, M3R, výrobce'!$K$60-30,'Klasik, CNG, M3R, výrobce'!E$79)</f>
        <v>44897</v>
      </c>
      <c r="O76" s="43"/>
      <c r="P76" s="55"/>
      <c r="Q76" s="55"/>
      <c r="R76" s="55"/>
      <c r="S76" s="55"/>
      <c r="T76" s="55"/>
      <c r="U76" s="55"/>
      <c r="V76" s="55"/>
      <c r="W76" s="55"/>
      <c r="X76" s="55"/>
      <c r="Y76" s="55"/>
      <c r="Z76" s="55"/>
      <c r="AA76" s="55"/>
      <c r="AB76" s="55"/>
      <c r="AC76" s="55"/>
      <c r="AD76" s="55"/>
      <c r="AE76" s="55"/>
      <c r="AF76" s="55"/>
      <c r="AG76" s="55"/>
      <c r="AH76" s="55"/>
      <c r="AI76" s="55"/>
      <c r="AJ76" s="55"/>
      <c r="AK76" s="55"/>
    </row>
    <row r="77" spans="2:37" s="56" customFormat="1" x14ac:dyDescent="0.3">
      <c r="B77" s="55"/>
      <c r="C77" s="55"/>
      <c r="D77" s="55"/>
      <c r="E77" s="249">
        <f>VLOOKUP(MONTH(E78),$D$60:$F$71,3,FALSE)+E78-1</f>
        <v>30</v>
      </c>
      <c r="F77" s="249">
        <f t="shared" ref="F77:I77" si="25">VLOOKUP(MONTH(F78),$D$60:$F$71,3,FALSE)+F78-1</f>
        <v>30</v>
      </c>
      <c r="G77" s="249">
        <f t="shared" si="25"/>
        <v>30</v>
      </c>
      <c r="H77" s="249">
        <f t="shared" si="25"/>
        <v>30</v>
      </c>
      <c r="I77" s="249">
        <f t="shared" si="25"/>
        <v>30</v>
      </c>
      <c r="J77" s="43" t="s">
        <v>185</v>
      </c>
      <c r="K77" s="247"/>
      <c r="L77" s="247"/>
      <c r="M77" s="247"/>
      <c r="O77" s="43"/>
      <c r="P77" s="55"/>
      <c r="Q77" s="55"/>
      <c r="R77" s="55"/>
      <c r="S77" s="55"/>
      <c r="T77" s="55"/>
      <c r="U77" s="55"/>
      <c r="V77" s="55"/>
      <c r="W77" s="55"/>
      <c r="X77" s="55"/>
      <c r="Y77" s="55"/>
      <c r="Z77" s="55"/>
      <c r="AA77" s="55"/>
      <c r="AB77" s="55"/>
      <c r="AC77" s="55"/>
      <c r="AD77" s="55"/>
      <c r="AE77" s="55"/>
      <c r="AF77" s="55"/>
      <c r="AG77" s="55"/>
      <c r="AH77" s="55"/>
      <c r="AI77" s="55"/>
      <c r="AJ77" s="55"/>
      <c r="AK77" s="55"/>
    </row>
    <row r="78" spans="2:37" s="56" customFormat="1" x14ac:dyDescent="0.3">
      <c r="B78" s="55"/>
      <c r="C78" s="55"/>
      <c r="D78" s="55"/>
      <c r="E78" s="247">
        <f>$N$26</f>
        <v>0</v>
      </c>
      <c r="F78" s="247">
        <f>$N$27</f>
        <v>0</v>
      </c>
      <c r="G78" s="247">
        <f>$N$28</f>
        <v>0</v>
      </c>
      <c r="H78" s="247">
        <f>$N$29</f>
        <v>0</v>
      </c>
      <c r="I78" s="247">
        <f>$N$30</f>
        <v>0</v>
      </c>
      <c r="J78" s="55" t="s">
        <v>186</v>
      </c>
      <c r="K78" s="247"/>
      <c r="L78" s="247"/>
      <c r="M78" s="247"/>
      <c r="O78" s="55"/>
      <c r="P78" s="55"/>
      <c r="Q78" s="55"/>
      <c r="R78" s="55"/>
      <c r="S78" s="55"/>
      <c r="T78" s="55"/>
      <c r="U78" s="55"/>
      <c r="W78" s="55"/>
      <c r="X78" s="55"/>
      <c r="Y78" s="55"/>
      <c r="Z78" s="55"/>
      <c r="AA78" s="55"/>
      <c r="AB78" s="55"/>
      <c r="AC78" s="55"/>
      <c r="AD78" s="55"/>
      <c r="AE78" s="55"/>
      <c r="AF78" s="55"/>
      <c r="AG78" s="55"/>
      <c r="AH78" s="55"/>
      <c r="AI78" s="55"/>
      <c r="AJ78" s="55"/>
      <c r="AK78" s="55"/>
    </row>
    <row r="79" spans="2:37" s="56" customFormat="1" x14ac:dyDescent="0.3">
      <c r="B79" s="261"/>
      <c r="C79" s="55"/>
      <c r="D79" s="55"/>
      <c r="E79" s="247">
        <f>EOMONTH(DATE(YEAR($F$7),$E$81,-1),-1)+2</f>
        <v>44897</v>
      </c>
      <c r="F79" s="247">
        <f>EOMONTH(DATE(YEAR($F$7),$F$81,-1),-1)+2</f>
        <v>44897</v>
      </c>
      <c r="G79" s="247">
        <f>EOMONTH(DATE(YEAR($F$7),$G$81,-1),-1)+2</f>
        <v>44897</v>
      </c>
      <c r="H79" s="247">
        <f>EOMONTH(DATE(YEAR($F$7),$H$81,-1),-1)+2</f>
        <v>44897</v>
      </c>
      <c r="I79" s="247">
        <f>EOMONTH(DATE(YEAR($F$7),$I$81,-1),-1)+2</f>
        <v>44897</v>
      </c>
      <c r="J79" s="262" t="s">
        <v>192</v>
      </c>
      <c r="K79" s="55"/>
      <c r="L79" s="55"/>
      <c r="M79" s="55"/>
      <c r="N79" s="55"/>
      <c r="O79" s="55"/>
      <c r="P79" s="55"/>
      <c r="W79" s="55"/>
      <c r="X79" s="55"/>
      <c r="Y79" s="55"/>
      <c r="Z79" s="55"/>
      <c r="AA79" s="55"/>
      <c r="AB79" s="55"/>
      <c r="AC79" s="55"/>
      <c r="AD79" s="55"/>
      <c r="AE79" s="55"/>
      <c r="AF79" s="55"/>
      <c r="AG79" s="55"/>
      <c r="AH79" s="55"/>
      <c r="AI79" s="55"/>
      <c r="AJ79" s="55"/>
      <c r="AK79" s="55"/>
    </row>
    <row r="80" spans="2:37" s="56" customFormat="1" x14ac:dyDescent="0.3">
      <c r="B80" s="55"/>
      <c r="C80" s="55"/>
      <c r="D80" s="55"/>
      <c r="E80" s="247">
        <f>EOMONTH(DATE(YEAR($F$7),$E$81,1),0)</f>
        <v>44957</v>
      </c>
      <c r="F80" s="247">
        <f>EOMONTH(DATE(YEAR($F$7),$E$81,1),0)</f>
        <v>44957</v>
      </c>
      <c r="G80" s="247">
        <f>EOMONTH(DATE(YEAR($F$7),$E$81,1),0)</f>
        <v>44957</v>
      </c>
      <c r="H80" s="247">
        <f>EOMONTH(DATE(YEAR($F$7),$E$81,1),0)</f>
        <v>44957</v>
      </c>
      <c r="I80" s="247">
        <f>EOMONTH(DATE(YEAR($F$7),$E$81,1),0)</f>
        <v>44957</v>
      </c>
      <c r="J80" s="261" t="s">
        <v>193</v>
      </c>
      <c r="K80" s="250"/>
      <c r="L80" s="250"/>
      <c r="M80" s="250"/>
      <c r="N80" s="250"/>
      <c r="O80" s="250"/>
      <c r="P80" s="55"/>
      <c r="AD80" s="55"/>
      <c r="AE80" s="55"/>
      <c r="AF80" s="55"/>
      <c r="AG80" s="55"/>
      <c r="AH80" s="55"/>
      <c r="AI80" s="55"/>
      <c r="AJ80" s="55"/>
      <c r="AK80" s="55"/>
    </row>
    <row r="81" spans="2:29" s="56" customFormat="1" ht="43.2" x14ac:dyDescent="0.3">
      <c r="B81" s="263"/>
      <c r="E81" s="369">
        <f>MONTH($F$7)</f>
        <v>1</v>
      </c>
      <c r="F81" s="369">
        <f>MONTH($F$7)</f>
        <v>1</v>
      </c>
      <c r="G81" s="369">
        <f>MONTH($F$7)</f>
        <v>1</v>
      </c>
      <c r="H81" s="369">
        <f>MONTH($F$7)</f>
        <v>1</v>
      </c>
      <c r="I81" s="369">
        <f>MONTH($F$7)</f>
        <v>1</v>
      </c>
      <c r="J81" s="56" t="s">
        <v>194</v>
      </c>
    </row>
    <row r="82" spans="2:29" s="56" customFormat="1" ht="43.2" x14ac:dyDescent="0.3">
      <c r="B82" s="263"/>
      <c r="E82" s="514" t="str">
        <f>IF(IF(($N$26&lt;$F$7),E83-$F$7+1,E83-$N$26+1)&lt;=0,"období kapacity není ve fakt.období",IF(($N$26&lt;$F$7),E83-$F$7+1,E83-$N$26+1))</f>
        <v>období kapacity není ve fakt.období</v>
      </c>
      <c r="F82" s="514" t="str">
        <f>IF(IF(($N$27&lt;$F$7),F83-$F$7+1,F83-$N$27+1)&lt;=0,"období kapacity není ve fakt.období",IF(($N$27&lt;$F$7),F83-$F$7+1,F83-$N$27+1))</f>
        <v>období kapacity není ve fakt.období</v>
      </c>
      <c r="G82" s="514" t="str">
        <f>IF(IF(($N$28&lt;$F$7),G83-$F$7+1,G83-$N$28+1)&lt;=0,"období kapacity není ve fakt.období",IF(($N$28&lt;$F$7),G83-$F$7+1,G83-$N$28+1))</f>
        <v>období kapacity není ve fakt.období</v>
      </c>
      <c r="H82" s="514" t="str">
        <f>IF(IF(($N$29&lt;$F$7),H83-$F$7+1,H83-$N$29+1)&lt;=0,"období kapacity není ve fakt.období",IF(($N$29&lt;$F$7),H83-$F$7+1,H83-$N$29+1))</f>
        <v>období kapacity není ve fakt.období</v>
      </c>
      <c r="I82" s="514" t="str">
        <f>IF(IF(($N$30&lt;$F$7),I83-$F$7+1,I83-$N$30+1)&lt;=0,"období kapacity není ve fakt.období",IF(($N$30&lt;$F$7),I83-$F$7+1,I83-$N$30+1))</f>
        <v>období kapacity není ve fakt.období</v>
      </c>
      <c r="J82" s="56" t="s">
        <v>195</v>
      </c>
    </row>
    <row r="83" spans="2:29" s="56" customFormat="1" ht="57.6" x14ac:dyDescent="0.3">
      <c r="B83" s="263"/>
      <c r="E83" s="376">
        <f>IF($O$26&gt;$G$7,$G$7,$O$26)</f>
        <v>0</v>
      </c>
      <c r="F83" s="376">
        <f>IF($O$27&gt;$G$7,$G$7,$O$27)</f>
        <v>0</v>
      </c>
      <c r="G83" s="376">
        <f>IF($O$28&gt;$G$7,$G$7,$O$28)</f>
        <v>0</v>
      </c>
      <c r="H83" s="376">
        <f>IF($O$29&gt;$G$7,$G$7,$O$29)</f>
        <v>0</v>
      </c>
      <c r="I83" s="376">
        <f>IF($O$30&gt;$G$7,$G$7,$O$30)</f>
        <v>0</v>
      </c>
      <c r="J83" s="56" t="s">
        <v>196</v>
      </c>
    </row>
    <row r="84" spans="2:29" s="56" customFormat="1" x14ac:dyDescent="0.3">
      <c r="E84" s="763" t="s">
        <v>416</v>
      </c>
    </row>
    <row r="85" spans="2:29" s="56" customFormat="1" x14ac:dyDescent="0.3">
      <c r="E85" s="763" t="s">
        <v>415</v>
      </c>
    </row>
    <row r="86" spans="2:29" s="56" customFormat="1" x14ac:dyDescent="0.3"/>
    <row r="87" spans="2:29" s="56" customFormat="1" x14ac:dyDescent="0.3"/>
    <row r="88" spans="2:29" s="56" customFormat="1" x14ac:dyDescent="0.3">
      <c r="E88" s="247"/>
      <c r="F88" s="247"/>
      <c r="G88" s="247"/>
      <c r="H88" s="247"/>
      <c r="I88" s="247"/>
      <c r="J88" s="262"/>
    </row>
    <row r="89" spans="2:29" s="56" customFormat="1" x14ac:dyDescent="0.3">
      <c r="E89" s="247"/>
      <c r="F89" s="247"/>
      <c r="G89" s="247"/>
      <c r="H89" s="247"/>
      <c r="I89" s="247"/>
      <c r="J89" s="261"/>
      <c r="V89" s="3"/>
    </row>
    <row r="90" spans="2:29" s="56" customFormat="1" x14ac:dyDescent="0.3">
      <c r="Q90" s="3"/>
      <c r="R90" s="3"/>
      <c r="S90" s="3"/>
      <c r="T90" s="3"/>
      <c r="U90" s="3"/>
      <c r="V90" s="3"/>
    </row>
    <row r="91" spans="2:29" s="56" customFormat="1" x14ac:dyDescent="0.3">
      <c r="Q91" s="3"/>
      <c r="R91" s="3"/>
      <c r="S91" s="3"/>
      <c r="T91" s="3"/>
      <c r="U91" s="3"/>
      <c r="V91" s="3"/>
      <c r="W91" s="3"/>
      <c r="X91" s="3"/>
      <c r="Y91" s="3"/>
      <c r="Z91" s="3"/>
      <c r="AA91" s="3"/>
      <c r="AB91" s="3"/>
      <c r="AC91" s="3"/>
    </row>
  </sheetData>
  <mergeCells count="24">
    <mergeCell ref="C49:C51"/>
    <mergeCell ref="D74:D75"/>
    <mergeCell ref="W34:Y34"/>
    <mergeCell ref="E42:I42"/>
    <mergeCell ref="E43:F43"/>
    <mergeCell ref="G43:I43"/>
    <mergeCell ref="J43:K43"/>
    <mergeCell ref="A41:Y41"/>
    <mergeCell ref="L43:N43"/>
    <mergeCell ref="J42:N42"/>
    <mergeCell ref="W33:Y33"/>
    <mergeCell ref="A5:B5"/>
    <mergeCell ref="W8:Y9"/>
    <mergeCell ref="Z8:AE8"/>
    <mergeCell ref="G12:G15"/>
    <mergeCell ref="E13:F13"/>
    <mergeCell ref="G26:G30"/>
    <mergeCell ref="E28:F28"/>
    <mergeCell ref="J8:V9"/>
    <mergeCell ref="AF8:AK8"/>
    <mergeCell ref="Z9:AB9"/>
    <mergeCell ref="AC9:AE9"/>
    <mergeCell ref="AF9:AH9"/>
    <mergeCell ref="AI9:AK9"/>
  </mergeCells>
  <conditionalFormatting sqref="Q12:U13 Q15:U25">
    <cfRule type="cellIs" dxfId="14" priority="14" operator="equal">
      <formula>519</formula>
    </cfRule>
  </conditionalFormatting>
  <conditionalFormatting sqref="K15:K25">
    <cfRule type="cellIs" dxfId="13" priority="15" operator="equal">
      <formula>#REF!</formula>
    </cfRule>
  </conditionalFormatting>
  <conditionalFormatting sqref="Q31:U31">
    <cfRule type="cellIs" dxfId="12" priority="13" operator="equal">
      <formula>519</formula>
    </cfRule>
  </conditionalFormatting>
  <conditionalFormatting sqref="L12:L13 L15:L25">
    <cfRule type="cellIs" dxfId="11" priority="12" operator="equal">
      <formula>#REF!</formula>
    </cfRule>
  </conditionalFormatting>
  <conditionalFormatting sqref="L26:L30">
    <cfRule type="cellIs" dxfId="10" priority="11" operator="equal">
      <formula>#REF!</formula>
    </cfRule>
  </conditionalFormatting>
  <conditionalFormatting sqref="M12:M13 M15:M25">
    <cfRule type="cellIs" dxfId="9" priority="10" operator="equal">
      <formula>#REF!</formula>
    </cfRule>
  </conditionalFormatting>
  <conditionalFormatting sqref="M26:M30">
    <cfRule type="cellIs" dxfId="8" priority="9" operator="equal">
      <formula>#REF!</formula>
    </cfRule>
  </conditionalFormatting>
  <conditionalFormatting sqref="K12:K13">
    <cfRule type="cellIs" dxfId="7" priority="8" operator="equal">
      <formula>#REF!</formula>
    </cfRule>
  </conditionalFormatting>
  <conditionalFormatting sqref="K26:K30">
    <cfRule type="cellIs" dxfId="6" priority="7" operator="equal">
      <formula>#REF!</formula>
    </cfRule>
  </conditionalFormatting>
  <conditionalFormatting sqref="Q26:U30">
    <cfRule type="cellIs" dxfId="5" priority="6" operator="equal">
      <formula>519</formula>
    </cfRule>
  </conditionalFormatting>
  <conditionalFormatting sqref="K14">
    <cfRule type="cellIs" dxfId="4" priority="1" operator="equal">
      <formula>$E$56</formula>
    </cfRule>
  </conditionalFormatting>
  <conditionalFormatting sqref="Q14:U14">
    <cfRule type="cellIs" dxfId="3" priority="5" operator="equal">
      <formula>519</formula>
    </cfRule>
  </conditionalFormatting>
  <conditionalFormatting sqref="L14">
    <cfRule type="cellIs" dxfId="2" priority="4" operator="equal">
      <formula>#REF!</formula>
    </cfRule>
  </conditionalFormatting>
  <conditionalFormatting sqref="M14">
    <cfRule type="cellIs" dxfId="1" priority="3" operator="equal">
      <formula>#REF!</formula>
    </cfRule>
  </conditionalFormatting>
  <conditionalFormatting sqref="K14">
    <cfRule type="cellIs" dxfId="0" priority="2" operator="equal">
      <formula>#REF!</formula>
    </cfRule>
  </conditionalFormatting>
  <dataValidations disablePrompts="1"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topLeftCell="A3" zoomScale="70" zoomScaleNormal="70" workbookViewId="0">
      <selection activeCell="G69" sqref="G69"/>
    </sheetView>
  </sheetViews>
  <sheetFormatPr defaultColWidth="9.109375" defaultRowHeight="14.4" x14ac:dyDescent="0.3"/>
  <cols>
    <col min="1" max="1" width="9.109375" style="3"/>
    <col min="2" max="2" width="10.33203125" style="3" customWidth="1"/>
    <col min="3" max="3" width="16.109375" style="3" customWidth="1"/>
    <col min="4" max="4" width="16.33203125" style="3" customWidth="1"/>
    <col min="5" max="5" width="15.5546875" style="3" bestFit="1" customWidth="1"/>
    <col min="6" max="6" width="14.6640625" style="3" bestFit="1" customWidth="1"/>
    <col min="7" max="7" width="22.33203125" style="3" customWidth="1"/>
    <col min="8" max="8" width="14.109375" style="3" customWidth="1"/>
    <col min="9" max="9" width="16.44140625" style="3" customWidth="1"/>
    <col min="10" max="10" width="16" style="3" bestFit="1" customWidth="1"/>
    <col min="11" max="11" width="20.88671875" style="3" customWidth="1"/>
    <col min="12" max="12" width="17.33203125" style="3" bestFit="1" customWidth="1"/>
    <col min="13" max="13" width="18" style="3" bestFit="1" customWidth="1"/>
    <col min="14" max="14" width="54.5546875" style="3" customWidth="1"/>
    <col min="15" max="16384" width="9.109375" style="3"/>
  </cols>
  <sheetData>
    <row r="1" spans="1:16" ht="100.8" x14ac:dyDescent="0.3">
      <c r="B1" s="278" t="s">
        <v>233</v>
      </c>
      <c r="C1" s="49" t="s">
        <v>47</v>
      </c>
      <c r="D1" s="279" t="s">
        <v>47</v>
      </c>
      <c r="E1" s="280" t="s">
        <v>48</v>
      </c>
      <c r="G1" s="281" t="s">
        <v>234</v>
      </c>
      <c r="H1" s="281" t="s">
        <v>235</v>
      </c>
      <c r="I1" s="282"/>
      <c r="J1" s="283" t="s">
        <v>236</v>
      </c>
      <c r="K1" s="284" t="s">
        <v>237</v>
      </c>
    </row>
    <row r="2" spans="1:16" x14ac:dyDescent="0.3">
      <c r="B2" s="285" t="s">
        <v>238</v>
      </c>
      <c r="C2" s="754" t="s">
        <v>239</v>
      </c>
      <c r="D2" s="754"/>
      <c r="E2" s="754"/>
      <c r="F2" s="755" t="s">
        <v>240</v>
      </c>
      <c r="G2" s="755"/>
      <c r="H2" s="755" t="s">
        <v>241</v>
      </c>
      <c r="I2" s="755"/>
    </row>
    <row r="3" spans="1:16" x14ac:dyDescent="0.3">
      <c r="B3" s="286"/>
      <c r="C3" s="287" t="s">
        <v>242</v>
      </c>
      <c r="D3" s="288" t="s">
        <v>56</v>
      </c>
      <c r="E3" s="288" t="s">
        <v>188</v>
      </c>
      <c r="F3" s="288" t="s">
        <v>149</v>
      </c>
      <c r="G3" s="289" t="s">
        <v>151</v>
      </c>
      <c r="H3" s="288" t="s">
        <v>149</v>
      </c>
      <c r="I3" s="289" t="s">
        <v>151</v>
      </c>
    </row>
    <row r="4" spans="1:16" x14ac:dyDescent="0.3">
      <c r="B4" s="286"/>
      <c r="C4" s="287" t="s">
        <v>54</v>
      </c>
      <c r="D4" s="290">
        <f>'Klasik, CNG, M3R, výrobce'!F45</f>
        <v>1.6300000000000002E-2</v>
      </c>
      <c r="E4" s="290">
        <f>'Klasik, CNG, M3R, výrobce'!K45</f>
        <v>4.3119999999999999E-2</v>
      </c>
      <c r="F4" s="291">
        <f>'Klasik, CNG, M3R, výrobce'!G45</f>
        <v>314.47910000000002</v>
      </c>
      <c r="G4" s="291">
        <f>'Klasik, CNG, M3R, výrobce'!I45</f>
        <v>-17.178899999999999</v>
      </c>
      <c r="H4" s="291">
        <f>'Klasik, CNG, M3R, výrobce'!L45</f>
        <v>355.31900000000002</v>
      </c>
      <c r="I4" s="291">
        <f>'Klasik, CNG, M3R, výrobce'!N45</f>
        <v>-17.178899999999999</v>
      </c>
    </row>
    <row r="5" spans="1:16" x14ac:dyDescent="0.3">
      <c r="B5" s="286"/>
      <c r="C5" s="292" t="s">
        <v>155</v>
      </c>
      <c r="D5" s="290">
        <f>'Klasik, CNG, M3R, výrobce'!F46</f>
        <v>2.4410000000000001E-2</v>
      </c>
      <c r="E5" s="290">
        <f>'Klasik, CNG, M3R, výrobce'!K46</f>
        <v>8.788E-2</v>
      </c>
      <c r="F5" s="291">
        <f>'Klasik, CNG, M3R, výrobce'!G46</f>
        <v>315.79160000000002</v>
      </c>
      <c r="G5" s="291">
        <f>'Klasik, CNG, M3R, výrobce'!I46</f>
        <v>-6.5753000000000004</v>
      </c>
      <c r="H5" s="291">
        <f>'Klasik, CNG, M3R, výrobce'!L46</f>
        <v>366.21179999999998</v>
      </c>
      <c r="I5" s="291">
        <f>'Klasik, CNG, M3R, výrobce'!N46</f>
        <v>-6.5753000000000004</v>
      </c>
    </row>
    <row r="6" spans="1:16" x14ac:dyDescent="0.3">
      <c r="B6" s="286"/>
      <c r="C6" s="293" t="s">
        <v>243</v>
      </c>
      <c r="D6" s="294">
        <f>'Klasik, CNG, M3R, výrobce'!F53</f>
        <v>1.83E-3</v>
      </c>
      <c r="E6" s="286"/>
      <c r="F6" s="295"/>
      <c r="G6" s="286"/>
      <c r="H6" s="286"/>
      <c r="I6" s="282"/>
      <c r="J6" s="296" t="s">
        <v>117</v>
      </c>
      <c r="K6" s="297" t="e">
        <f>K8/F10-100%</f>
        <v>#DIV/0!</v>
      </c>
    </row>
    <row r="7" spans="1:16" s="286" customFormat="1" ht="28.8" x14ac:dyDescent="0.3">
      <c r="F7" s="295"/>
      <c r="I7" s="282"/>
      <c r="J7" s="298" t="s">
        <v>244</v>
      </c>
      <c r="K7" s="299">
        <f>F10*1.038</f>
        <v>0</v>
      </c>
      <c r="M7" s="3"/>
      <c r="N7" s="300"/>
    </row>
    <row r="8" spans="1:16" s="286" customFormat="1" ht="28.8" x14ac:dyDescent="0.3">
      <c r="C8" s="756" t="s">
        <v>245</v>
      </c>
      <c r="D8" s="757"/>
      <c r="E8" s="400">
        <f>'Výpočet ceny distribuce'!F65</f>
        <v>0</v>
      </c>
      <c r="F8" s="301"/>
      <c r="G8" s="301"/>
      <c r="H8" s="301"/>
      <c r="I8" s="282"/>
      <c r="J8" s="302" t="s">
        <v>246</v>
      </c>
      <c r="K8" s="401">
        <f>'Výpočet ceny distribuce'!E67</f>
        <v>0</v>
      </c>
      <c r="L8" s="303">
        <f>K8/24</f>
        <v>0</v>
      </c>
      <c r="M8" s="3"/>
      <c r="N8" s="300"/>
    </row>
    <row r="9" spans="1:16" s="286" customFormat="1" ht="28.8" x14ac:dyDescent="0.3">
      <c r="C9" s="304" t="s">
        <v>247</v>
      </c>
      <c r="D9" s="401" t="str">
        <f>VLOOKUP('ovládací prvky'!C28,'ovládací prvky'!A29:B30,2,FALSE)</f>
        <v>ano</v>
      </c>
      <c r="E9" s="305" t="s">
        <v>248</v>
      </c>
      <c r="F9" s="302" t="s">
        <v>249</v>
      </c>
      <c r="G9" s="302" t="s">
        <v>250</v>
      </c>
      <c r="H9" s="302" t="s">
        <v>251</v>
      </c>
      <c r="I9" s="282"/>
      <c r="J9" s="306" t="s">
        <v>252</v>
      </c>
      <c r="K9" s="307">
        <f>IF(K8&gt;K7,K8-F10,)</f>
        <v>0</v>
      </c>
      <c r="L9" s="308"/>
      <c r="M9" s="3"/>
      <c r="N9" s="300"/>
    </row>
    <row r="10" spans="1:16" s="286" customFormat="1" ht="28.8" x14ac:dyDescent="0.3">
      <c r="B10" s="309" t="s">
        <v>253</v>
      </c>
      <c r="C10" s="291"/>
      <c r="D10" s="310">
        <f>IF(F11=0,IF($H$10&lt;519,519,$H$10),IF(D9="ano",IF($H$10&lt;519,519,$H$10),IF($H$10&lt;519,519,IF($H$10&lt;$D$11,$H$10,IF($D$11&lt;519,519,$D$11)))))</f>
        <v>519</v>
      </c>
      <c r="E10" s="311">
        <f>IF(F10&lt;519,519,F10)</f>
        <v>519</v>
      </c>
      <c r="F10" s="400">
        <f>'Výpočet ceny distribuce'!F58</f>
        <v>0</v>
      </c>
      <c r="G10" s="400">
        <f>'Výpočet ceny distribuce'!F59</f>
        <v>0</v>
      </c>
      <c r="H10" s="307">
        <f>F10+G10</f>
        <v>0</v>
      </c>
      <c r="I10" s="282"/>
      <c r="J10" s="312" t="s">
        <v>254</v>
      </c>
      <c r="K10" s="313">
        <f>VLOOKUP(K11,'Klasik, CNG, M3R, výrobce'!E60:G71,3,FALSE)</f>
        <v>1.43</v>
      </c>
      <c r="L10" s="314"/>
      <c r="M10" s="3"/>
      <c r="N10" s="300"/>
    </row>
    <row r="11" spans="1:16" s="286" customFormat="1" ht="28.8" x14ac:dyDescent="0.3">
      <c r="B11" s="315" t="s">
        <v>255</v>
      </c>
      <c r="C11" s="316"/>
      <c r="D11" s="311">
        <f>F11*1.2</f>
        <v>0</v>
      </c>
      <c r="F11" s="401">
        <f>'Výpočet ceny distribuce'!F60</f>
        <v>0</v>
      </c>
      <c r="G11" s="316" t="s">
        <v>256</v>
      </c>
      <c r="H11" s="316"/>
      <c r="I11" s="282"/>
      <c r="J11" s="306" t="s">
        <v>257</v>
      </c>
      <c r="K11" s="402" t="str">
        <f>VLOOKUP('ovládací prvky'!F13,'ovládací prvky'!B14:C25,2,FALSE)</f>
        <v>Leden</v>
      </c>
      <c r="L11" s="282"/>
      <c r="M11" s="3"/>
      <c r="N11" s="300"/>
    </row>
    <row r="13" spans="1:16" s="286" customFormat="1" ht="53.25" customHeight="1" x14ac:dyDescent="0.3">
      <c r="B13" s="3" t="s">
        <v>258</v>
      </c>
      <c r="D13" s="3"/>
      <c r="E13" s="3"/>
      <c r="F13" s="3" t="s">
        <v>1</v>
      </c>
      <c r="G13" s="758" t="s">
        <v>259</v>
      </c>
      <c r="H13" s="758"/>
      <c r="I13" s="758"/>
      <c r="J13" s="317" t="str">
        <f>'Klasik, CNG, M3R, výrobce'!E55</f>
        <v>40000 Kč/tis.m3</v>
      </c>
      <c r="K13" s="3"/>
      <c r="M13" s="3"/>
      <c r="N13" s="300"/>
    </row>
    <row r="14" spans="1:16" s="286" customFormat="1" ht="60" customHeight="1" x14ac:dyDescent="0.3">
      <c r="A14" s="306" t="s">
        <v>318</v>
      </c>
      <c r="B14" s="145" t="s">
        <v>147</v>
      </c>
      <c r="C14" s="145" t="s">
        <v>260</v>
      </c>
      <c r="D14" s="145" t="s">
        <v>261</v>
      </c>
      <c r="E14" s="357" t="s">
        <v>262</v>
      </c>
      <c r="F14" s="145" t="s">
        <v>263</v>
      </c>
      <c r="G14" s="145" t="s">
        <v>264</v>
      </c>
      <c r="H14" s="145" t="s">
        <v>265</v>
      </c>
      <c r="I14" s="318" t="s">
        <v>266</v>
      </c>
      <c r="J14" s="319" t="s">
        <v>267</v>
      </c>
      <c r="K14" s="306" t="s">
        <v>268</v>
      </c>
      <c r="L14" s="316" t="s">
        <v>269</v>
      </c>
      <c r="M14" s="316" t="s">
        <v>139</v>
      </c>
      <c r="O14" s="286" t="s">
        <v>316</v>
      </c>
      <c r="P14" s="286" t="s">
        <v>317</v>
      </c>
    </row>
    <row r="15" spans="1:16" s="286" customFormat="1" x14ac:dyDescent="0.3">
      <c r="A15" s="286" t="str">
        <f>CONCATENATE(O15,P15)</f>
        <v>21</v>
      </c>
      <c r="B15" s="296" t="s">
        <v>54</v>
      </c>
      <c r="C15" s="320" t="s">
        <v>56</v>
      </c>
      <c r="D15" s="321">
        <f>ROUND($F4+$G4*LN($D$10),5)</f>
        <v>207.07827</v>
      </c>
      <c r="E15" s="321">
        <f>ROUND($F4+$G4*LN($E$10),5)</f>
        <v>207.07827</v>
      </c>
      <c r="F15" s="321">
        <f>D15/427.6</f>
        <v>0.48428033208606175</v>
      </c>
      <c r="G15" s="321">
        <f>40/427.6</f>
        <v>9.3545369504209538E-2</v>
      </c>
      <c r="H15" s="321">
        <f>IF(F15&gt;G15,ROUND(F15+$D4+0.02,5),ROUND(G15+$D4+0.02,5))</f>
        <v>0.52058000000000004</v>
      </c>
      <c r="I15" s="322">
        <f>ROUND($E$8*H15,2)</f>
        <v>0</v>
      </c>
      <c r="J15" s="322">
        <f>ROUND($E$8*$D$6,2)</f>
        <v>0</v>
      </c>
      <c r="K15" s="323">
        <f>IF($K$9&gt;0, ($K$9)*$E15*$K$10, 0)</f>
        <v>0</v>
      </c>
      <c r="L15" s="324">
        <f>I15+J15+K15</f>
        <v>0</v>
      </c>
      <c r="M15" s="325">
        <f>L15*1.21</f>
        <v>0</v>
      </c>
      <c r="N15" s="326" t="s">
        <v>270</v>
      </c>
      <c r="O15" s="336">
        <v>2</v>
      </c>
      <c r="P15" s="336">
        <v>1</v>
      </c>
    </row>
    <row r="16" spans="1:16" s="286" customFormat="1" x14ac:dyDescent="0.3">
      <c r="A16" s="286" t="str">
        <f>CONCATENATE(O16,P16)</f>
        <v>11</v>
      </c>
      <c r="B16" s="296" t="s">
        <v>54</v>
      </c>
      <c r="C16" s="320" t="s">
        <v>188</v>
      </c>
      <c r="D16" s="321">
        <f>ROUND($H4+$I4*LN($D$10),5)</f>
        <v>247.91817</v>
      </c>
      <c r="E16" s="321">
        <f>ROUND($H4+$I4*LN($E$10),5)</f>
        <v>247.91817</v>
      </c>
      <c r="F16" s="321">
        <f>D16/427.6</f>
        <v>0.57978992048643585</v>
      </c>
      <c r="G16" s="321">
        <f>40/427.6</f>
        <v>9.3545369504209538E-2</v>
      </c>
      <c r="H16" s="321">
        <f>IF(F16&gt;G16,ROUND(F16+$E4+0.02,5),ROUND(G16+$E4+0.02,5))</f>
        <v>0.64290999999999998</v>
      </c>
      <c r="I16" s="322">
        <f>ROUND($E$8*H16,2)</f>
        <v>0</v>
      </c>
      <c r="J16" s="322">
        <f>ROUND($E$8*$D$6,2)</f>
        <v>0</v>
      </c>
      <c r="K16" s="323">
        <f>IF($K$9&gt;0, ($K$9)*$E16*$K$10, 0)</f>
        <v>0</v>
      </c>
      <c r="L16" s="324">
        <f>I16+J16+K16</f>
        <v>0</v>
      </c>
      <c r="M16" s="325">
        <f>L16*1.21</f>
        <v>0</v>
      </c>
      <c r="N16" s="326" t="s">
        <v>271</v>
      </c>
      <c r="O16" s="336">
        <v>1</v>
      </c>
      <c r="P16" s="336">
        <v>1</v>
      </c>
    </row>
    <row r="17" spans="1:16" s="286" customFormat="1" x14ac:dyDescent="0.3">
      <c r="A17" s="286" t="str">
        <f>CONCATENATE(O17,P17)</f>
        <v>22</v>
      </c>
      <c r="B17" s="316" t="s">
        <v>155</v>
      </c>
      <c r="C17" s="320" t="s">
        <v>56</v>
      </c>
      <c r="D17" s="321">
        <f>ROUND($F5+$G5*LN($D$10),5)</f>
        <v>274.68346000000003</v>
      </c>
      <c r="E17" s="321">
        <f>ROUND($F5+$G5*LN($E$10),5)</f>
        <v>274.68346000000003</v>
      </c>
      <c r="F17" s="321">
        <f>D17/427.6</f>
        <v>0.6423841440598691</v>
      </c>
      <c r="G17" s="321">
        <f>40/427.6</f>
        <v>9.3545369504209538E-2</v>
      </c>
      <c r="H17" s="321">
        <f>IF(F17&gt;G17,ROUND(F17+$D5+0.02,5),ROUND(G17+$D5+0.02,5))</f>
        <v>0.68679000000000001</v>
      </c>
      <c r="I17" s="322">
        <f>ROUND($E$8*H17,2)</f>
        <v>0</v>
      </c>
      <c r="J17" s="322">
        <f>ROUND($E$8*$D$6,2)</f>
        <v>0</v>
      </c>
      <c r="K17" s="323">
        <f t="shared" ref="K17" si="0">IF($K$9&gt;0, ($K$9)*$E17*$K$10, 0)</f>
        <v>0</v>
      </c>
      <c r="L17" s="324">
        <f>I17+J17+K17</f>
        <v>0</v>
      </c>
      <c r="M17" s="325">
        <f>L17*1.21</f>
        <v>0</v>
      </c>
      <c r="O17" s="336">
        <v>2</v>
      </c>
      <c r="P17" s="336">
        <v>2</v>
      </c>
    </row>
    <row r="18" spans="1:16" s="286" customFormat="1" x14ac:dyDescent="0.3">
      <c r="A18" s="286" t="str">
        <f>CONCATENATE(O18,P18)</f>
        <v>12</v>
      </c>
      <c r="B18" s="316" t="s">
        <v>155</v>
      </c>
      <c r="C18" s="320" t="s">
        <v>188</v>
      </c>
      <c r="D18" s="321">
        <f>ROUND($H5+$I5*LN($D$10),5)</f>
        <v>325.10365999999999</v>
      </c>
      <c r="E18" s="321">
        <f>ROUND($H5+$I5*LN($E$10),5)</f>
        <v>325.10365999999999</v>
      </c>
      <c r="F18" s="321">
        <f>D18/427.6</f>
        <v>0.7602985500467726</v>
      </c>
      <c r="G18" s="321">
        <f>40/427.6</f>
        <v>9.3545369504209538E-2</v>
      </c>
      <c r="H18" s="321">
        <f>IF(F18&gt;G18,ROUND(F18+$E5+0.02,5),ROUND(G18+$E5+0.02,5))</f>
        <v>0.86817999999999995</v>
      </c>
      <c r="I18" s="322">
        <f>ROUND($E$8*H18,2)</f>
        <v>0</v>
      </c>
      <c r="J18" s="322">
        <f>ROUND($E$8*$D$6,2)</f>
        <v>0</v>
      </c>
      <c r="K18" s="323">
        <f>IF($K$9&gt;0, ($K$9)*$E18*$K$10, 0)</f>
        <v>0</v>
      </c>
      <c r="L18" s="324">
        <f>I18+J18+K18</f>
        <v>0</v>
      </c>
      <c r="M18" s="325">
        <f>L18*1.21</f>
        <v>0</v>
      </c>
      <c r="O18" s="336">
        <v>1</v>
      </c>
      <c r="P18" s="336">
        <v>2</v>
      </c>
    </row>
    <row r="19" spans="1:16" s="286" customFormat="1" ht="40.950000000000003" customHeight="1" x14ac:dyDescent="0.3">
      <c r="A19" s="337" t="str">
        <f>CONCATENATE(O19,P19)</f>
        <v>11</v>
      </c>
      <c r="C19" s="344" t="s">
        <v>315</v>
      </c>
      <c r="D19" s="339">
        <f>VLOOKUP($A$19,$A$15:$M$18,4,FALSE)</f>
        <v>247.91817</v>
      </c>
      <c r="E19" s="341">
        <f>VLOOKUP($A$19,$A$15:$M$18,5,FALSE)</f>
        <v>247.91817</v>
      </c>
      <c r="F19" s="341">
        <f>VLOOKUP($A$19,$A$15:$M$18,6,FALSE)</f>
        <v>0.57978992048643585</v>
      </c>
      <c r="G19" s="341">
        <f>VLOOKUP($A$19,$A$15:$M$18,7,FALSE)</f>
        <v>9.3545369504209538E-2</v>
      </c>
      <c r="H19" s="341">
        <f>VLOOKUP($A$19,$A$15:$M$18,8,FALSE)</f>
        <v>0.64290999999999998</v>
      </c>
      <c r="I19" s="339">
        <f>VLOOKUP($A$19,$A$15:$M$18,9,FALSE)</f>
        <v>0</v>
      </c>
      <c r="J19" s="339">
        <f>VLOOKUP($A$19,$A$15:$M$18,10,FALSE)</f>
        <v>0</v>
      </c>
      <c r="K19" s="339">
        <f>VLOOKUP($A$19,$A$15:$M$18,11,FALSE)</f>
        <v>0</v>
      </c>
      <c r="L19" s="338">
        <f>VLOOKUP(A19,A15:M18,12,FALSE)</f>
        <v>0</v>
      </c>
      <c r="M19" s="338">
        <f>VLOOKUP(A19,A15:M18,13,FALSE)</f>
        <v>0</v>
      </c>
      <c r="O19" s="336">
        <f>'ovládací prvky'!H2</f>
        <v>1</v>
      </c>
      <c r="P19" s="336">
        <f>'ovládací prvky'!J2</f>
        <v>1</v>
      </c>
    </row>
    <row r="20" spans="1:16" s="282" customFormat="1" x14ac:dyDescent="0.3">
      <c r="B20" s="286"/>
      <c r="C20" s="3"/>
      <c r="D20" s="327"/>
      <c r="E20" s="327"/>
      <c r="F20" s="327"/>
      <c r="G20" s="327"/>
      <c r="H20" s="327"/>
      <c r="I20" s="327"/>
      <c r="J20" s="327"/>
      <c r="K20" s="327"/>
      <c r="L20" s="327"/>
      <c r="M20" s="327"/>
      <c r="N20" s="286"/>
    </row>
    <row r="21" spans="1:16" s="282" customFormat="1" x14ac:dyDescent="0.3">
      <c r="C21" s="3" t="s">
        <v>272</v>
      </c>
      <c r="D21" s="3"/>
      <c r="E21" s="3"/>
      <c r="F21" s="3"/>
      <c r="G21" s="3"/>
      <c r="H21" s="3"/>
      <c r="K21" s="751" t="s">
        <v>273</v>
      </c>
      <c r="M21" s="286"/>
      <c r="N21" s="286"/>
    </row>
    <row r="22" spans="1:16" s="282" customFormat="1" x14ac:dyDescent="0.3">
      <c r="C22" s="3" t="s">
        <v>274</v>
      </c>
      <c r="D22" s="3"/>
      <c r="E22" s="3"/>
      <c r="F22" s="3"/>
      <c r="G22" s="3"/>
      <c r="H22" s="3"/>
      <c r="K22" s="751"/>
      <c r="M22" s="286"/>
      <c r="N22" s="286"/>
    </row>
    <row r="23" spans="1:16" s="282" customFormat="1" x14ac:dyDescent="0.3">
      <c r="C23" s="3"/>
      <c r="D23" s="3"/>
      <c r="E23" s="3"/>
      <c r="F23" s="3"/>
      <c r="G23" s="3"/>
      <c r="H23" s="3"/>
      <c r="K23" s="751"/>
      <c r="L23" s="286"/>
      <c r="M23" s="286"/>
      <c r="N23" s="286"/>
    </row>
    <row r="24" spans="1:16" s="282" customFormat="1" x14ac:dyDescent="0.3">
      <c r="C24" s="328" t="s">
        <v>275</v>
      </c>
      <c r="D24" s="3"/>
      <c r="E24" s="3"/>
      <c r="F24" s="3"/>
      <c r="G24" s="3"/>
      <c r="H24" s="3"/>
      <c r="K24" s="751"/>
      <c r="M24" s="286"/>
      <c r="N24" s="286"/>
    </row>
    <row r="25" spans="1:16" s="282" customFormat="1" x14ac:dyDescent="0.3">
      <c r="C25" s="3" t="s">
        <v>276</v>
      </c>
      <c r="D25" s="3"/>
      <c r="E25" s="3"/>
      <c r="F25" s="3"/>
      <c r="G25" s="3"/>
      <c r="H25" s="3"/>
      <c r="K25" s="751"/>
      <c r="L25" s="286"/>
      <c r="M25" s="286"/>
      <c r="N25" s="286"/>
    </row>
    <row r="26" spans="1:16" s="282" customFormat="1" ht="56.4" customHeight="1" x14ac:dyDescent="0.3">
      <c r="C26" s="752" t="s">
        <v>277</v>
      </c>
      <c r="D26" s="752"/>
      <c r="E26" s="752"/>
      <c r="F26" s="752"/>
      <c r="G26" s="752"/>
      <c r="H26" s="3"/>
      <c r="K26" s="751"/>
      <c r="L26" s="286"/>
      <c r="M26" s="286"/>
      <c r="N26" s="286"/>
    </row>
    <row r="27" spans="1:16" s="282" customFormat="1" x14ac:dyDescent="0.3">
      <c r="C27" s="3" t="s">
        <v>278</v>
      </c>
      <c r="D27" s="3"/>
      <c r="E27" s="3"/>
      <c r="F27" s="3"/>
      <c r="G27" s="3"/>
      <c r="H27" s="3"/>
      <c r="K27" s="751"/>
      <c r="M27" s="286"/>
      <c r="N27" s="286"/>
    </row>
    <row r="28" spans="1:16" s="282" customFormat="1" x14ac:dyDescent="0.3">
      <c r="C28" s="3" t="s">
        <v>279</v>
      </c>
      <c r="D28" s="3"/>
      <c r="E28" s="3"/>
      <c r="F28" s="3"/>
      <c r="G28" s="3"/>
      <c r="H28" s="3"/>
      <c r="K28" s="751"/>
      <c r="L28" s="286"/>
      <c r="M28" s="286"/>
      <c r="N28" s="286"/>
    </row>
    <row r="29" spans="1:16" s="282" customFormat="1" x14ac:dyDescent="0.3">
      <c r="C29" s="3"/>
      <c r="D29" s="3"/>
      <c r="E29" s="3"/>
      <c r="F29" s="3"/>
      <c r="G29" s="3"/>
      <c r="H29" s="3"/>
      <c r="K29" s="751"/>
      <c r="M29" s="286"/>
      <c r="N29" s="286"/>
    </row>
    <row r="30" spans="1:16" s="282" customFormat="1" x14ac:dyDescent="0.3">
      <c r="C30" s="329" t="s">
        <v>280</v>
      </c>
      <c r="D30" s="329"/>
      <c r="E30" s="330"/>
      <c r="F30" s="330"/>
      <c r="G30" s="330"/>
      <c r="H30" s="330"/>
      <c r="K30" s="751"/>
      <c r="L30" s="286"/>
      <c r="M30" s="286"/>
      <c r="N30" s="286"/>
    </row>
    <row r="31" spans="1:16" s="282" customFormat="1" x14ac:dyDescent="0.3">
      <c r="C31" s="753" t="s">
        <v>281</v>
      </c>
      <c r="D31" s="753"/>
      <c r="E31" s="753"/>
      <c r="F31" s="753"/>
      <c r="G31" s="753"/>
      <c r="H31" s="753"/>
      <c r="I31" s="753"/>
      <c r="K31" s="751"/>
      <c r="L31" s="286"/>
      <c r="M31" s="286"/>
      <c r="N31" s="286"/>
    </row>
    <row r="32" spans="1:16" s="282" customFormat="1" x14ac:dyDescent="0.3">
      <c r="C32" s="753" t="s">
        <v>282</v>
      </c>
      <c r="D32" s="753"/>
      <c r="E32" s="330"/>
      <c r="F32" s="330"/>
      <c r="G32" s="330"/>
      <c r="H32" s="330"/>
      <c r="I32" s="331"/>
      <c r="K32" s="751"/>
      <c r="L32" s="286"/>
      <c r="M32" s="286"/>
      <c r="N32" s="286"/>
    </row>
    <row r="33" spans="2:14" s="282" customFormat="1" x14ac:dyDescent="0.3">
      <c r="C33" s="332"/>
      <c r="D33" s="333" t="s">
        <v>283</v>
      </c>
      <c r="E33" s="333"/>
      <c r="F33" s="333"/>
      <c r="G33" s="333"/>
      <c r="H33" s="333"/>
      <c r="I33" s="331"/>
      <c r="K33" s="751"/>
      <c r="L33" s="286"/>
      <c r="M33" s="286"/>
      <c r="N33" s="286"/>
    </row>
    <row r="34" spans="2:14" s="282" customFormat="1" x14ac:dyDescent="0.3">
      <c r="C34" s="332"/>
      <c r="D34" s="333" t="s">
        <v>284</v>
      </c>
      <c r="E34" s="333"/>
      <c r="F34" s="333"/>
      <c r="G34" s="333"/>
      <c r="H34" s="333"/>
      <c r="I34" s="334"/>
      <c r="K34" s="751"/>
      <c r="L34" s="286"/>
      <c r="M34" s="286"/>
      <c r="N34" s="286"/>
    </row>
    <row r="35" spans="2:14" s="282" customFormat="1" x14ac:dyDescent="0.3">
      <c r="C35" s="332"/>
      <c r="D35" s="333" t="s">
        <v>285</v>
      </c>
      <c r="E35" s="333"/>
      <c r="F35" s="333"/>
      <c r="G35" s="333"/>
      <c r="H35" s="333"/>
      <c r="I35" s="334"/>
      <c r="K35" s="751"/>
      <c r="L35" s="286"/>
      <c r="M35" s="286"/>
      <c r="N35" s="286"/>
    </row>
    <row r="36" spans="2:14" s="282" customFormat="1" x14ac:dyDescent="0.3">
      <c r="C36" s="332"/>
      <c r="D36" s="333" t="s">
        <v>337</v>
      </c>
      <c r="E36" s="333"/>
      <c r="F36" s="333"/>
      <c r="G36" s="333"/>
      <c r="H36" s="333"/>
      <c r="I36" s="334"/>
      <c r="K36" s="751"/>
      <c r="L36" s="286"/>
      <c r="M36" s="286"/>
      <c r="N36" s="286"/>
    </row>
    <row r="37" spans="2:14" s="282" customFormat="1" x14ac:dyDescent="0.3">
      <c r="C37" s="333" t="s">
        <v>286</v>
      </c>
      <c r="D37" s="333"/>
      <c r="E37" s="333"/>
      <c r="F37" s="333"/>
      <c r="G37" s="333"/>
      <c r="H37" s="333"/>
      <c r="I37" s="331"/>
      <c r="K37" s="751"/>
      <c r="L37" s="286"/>
      <c r="M37" s="286"/>
      <c r="N37" s="286"/>
    </row>
    <row r="38" spans="2:14" s="286" customFormat="1" x14ac:dyDescent="0.3">
      <c r="B38" s="282"/>
      <c r="C38" s="333" t="s">
        <v>287</v>
      </c>
      <c r="D38" s="333"/>
      <c r="E38" s="333"/>
      <c r="F38" s="333"/>
      <c r="G38" s="333"/>
      <c r="H38" s="333"/>
      <c r="I38" s="331"/>
      <c r="J38" s="282"/>
      <c r="K38" s="751"/>
    </row>
    <row r="39" spans="2:14" s="286" customFormat="1" x14ac:dyDescent="0.3">
      <c r="B39" s="282"/>
      <c r="C39" s="333" t="s">
        <v>288</v>
      </c>
      <c r="D39" s="333"/>
      <c r="E39" s="333"/>
      <c r="F39" s="333"/>
      <c r="G39" s="333"/>
      <c r="H39" s="333"/>
      <c r="I39" s="334"/>
      <c r="J39" s="282"/>
      <c r="K39" s="751"/>
    </row>
    <row r="40" spans="2:14" s="286" customFormat="1" ht="307.2" customHeight="1" x14ac:dyDescent="0.3">
      <c r="B40" s="282"/>
      <c r="C40" s="335" t="s">
        <v>289</v>
      </c>
      <c r="D40" s="333"/>
      <c r="E40" s="333"/>
      <c r="F40" s="333"/>
      <c r="G40" s="333"/>
      <c r="H40" s="333"/>
      <c r="I40" s="334"/>
      <c r="J40" s="282"/>
      <c r="K40" s="751"/>
    </row>
    <row r="41" spans="2:14" s="26" customFormat="1" x14ac:dyDescent="0.3">
      <c r="B41" s="26" t="s">
        <v>320</v>
      </c>
      <c r="C41" s="340" t="s">
        <v>304</v>
      </c>
      <c r="D41" s="26" t="s">
        <v>316</v>
      </c>
      <c r="E41" s="26" t="s">
        <v>319</v>
      </c>
    </row>
    <row r="42" spans="2:14" x14ac:dyDescent="0.3">
      <c r="C42" s="3">
        <v>1240313632</v>
      </c>
      <c r="D42" s="3">
        <v>21</v>
      </c>
      <c r="E42" s="283">
        <v>43344</v>
      </c>
    </row>
    <row r="43" spans="2:14" x14ac:dyDescent="0.3">
      <c r="C43" s="3">
        <v>1240314205</v>
      </c>
      <c r="D43" s="3">
        <v>21</v>
      </c>
      <c r="E43" s="283">
        <v>43344</v>
      </c>
    </row>
    <row r="44" spans="2:14" x14ac:dyDescent="0.3">
      <c r="C44" s="3">
        <v>2240000238</v>
      </c>
      <c r="D44" s="3">
        <v>21</v>
      </c>
      <c r="E44" s="283">
        <v>40909</v>
      </c>
    </row>
    <row r="45" spans="2:14" x14ac:dyDescent="0.3">
      <c r="C45" s="3">
        <v>2240000270</v>
      </c>
      <c r="D45" s="3">
        <v>21</v>
      </c>
      <c r="E45" s="283">
        <v>40909</v>
      </c>
    </row>
    <row r="46" spans="2:14" x14ac:dyDescent="0.3">
      <c r="C46" s="3">
        <v>2240001658</v>
      </c>
      <c r="D46" s="3">
        <v>22</v>
      </c>
      <c r="E46" s="283">
        <v>44197</v>
      </c>
    </row>
    <row r="47" spans="2:14" x14ac:dyDescent="0.3">
      <c r="C47" s="3">
        <v>2240002315</v>
      </c>
      <c r="D47" s="3">
        <v>21</v>
      </c>
      <c r="E47" s="283">
        <v>42370</v>
      </c>
    </row>
    <row r="48" spans="2:14" x14ac:dyDescent="0.3">
      <c r="C48" s="3">
        <v>2240674783</v>
      </c>
      <c r="D48" s="3">
        <v>21</v>
      </c>
      <c r="E48" s="283">
        <v>42370</v>
      </c>
    </row>
    <row r="49" spans="3:5" x14ac:dyDescent="0.3">
      <c r="C49" s="3">
        <v>2240700893</v>
      </c>
      <c r="D49" s="3">
        <v>22</v>
      </c>
      <c r="E49" s="283">
        <v>43497</v>
      </c>
    </row>
    <row r="50" spans="3:5" x14ac:dyDescent="0.3">
      <c r="C50" s="3">
        <v>3240000020</v>
      </c>
      <c r="D50" s="3">
        <v>21</v>
      </c>
      <c r="E50" s="283">
        <v>41275</v>
      </c>
    </row>
    <row r="51" spans="3:5" x14ac:dyDescent="0.3">
      <c r="C51" s="3">
        <v>3240000262</v>
      </c>
      <c r="D51" s="3">
        <v>22</v>
      </c>
      <c r="E51" s="283">
        <v>41640</v>
      </c>
    </row>
    <row r="52" spans="3:5" x14ac:dyDescent="0.3">
      <c r="C52" s="3">
        <v>3240001255</v>
      </c>
      <c r="D52" s="3">
        <v>21</v>
      </c>
      <c r="E52" s="283">
        <v>42370</v>
      </c>
    </row>
    <row r="53" spans="3:5" x14ac:dyDescent="0.3">
      <c r="C53" s="3">
        <v>3240001323</v>
      </c>
      <c r="D53" s="3">
        <v>22</v>
      </c>
      <c r="E53" s="283">
        <v>44197</v>
      </c>
    </row>
    <row r="54" spans="3:5" x14ac:dyDescent="0.3">
      <c r="C54" s="3">
        <v>3240001426</v>
      </c>
      <c r="D54" s="3">
        <v>21</v>
      </c>
      <c r="E54" s="283">
        <v>44197</v>
      </c>
    </row>
    <row r="55" spans="3:5" x14ac:dyDescent="0.3">
      <c r="C55" s="3">
        <v>4240246583</v>
      </c>
      <c r="D55" s="3">
        <v>21</v>
      </c>
      <c r="E55" s="283">
        <v>43831</v>
      </c>
    </row>
    <row r="56" spans="3:5" x14ac:dyDescent="0.3">
      <c r="C56" s="3">
        <v>4240246809</v>
      </c>
      <c r="D56" s="3">
        <v>21</v>
      </c>
      <c r="E56" s="283">
        <v>40179</v>
      </c>
    </row>
    <row r="57" spans="3:5" x14ac:dyDescent="0.3">
      <c r="C57" s="3">
        <v>4240246900</v>
      </c>
      <c r="D57" s="3">
        <v>21</v>
      </c>
      <c r="E57" s="283">
        <v>43101</v>
      </c>
    </row>
    <row r="58" spans="3:5" x14ac:dyDescent="0.3">
      <c r="C58" s="3">
        <v>4240274815</v>
      </c>
      <c r="D58" s="3">
        <v>22</v>
      </c>
      <c r="E58" s="283">
        <v>42926</v>
      </c>
    </row>
    <row r="59" spans="3:5" x14ac:dyDescent="0.3">
      <c r="C59" s="3">
        <v>5240581099</v>
      </c>
      <c r="D59" s="3">
        <v>22</v>
      </c>
      <c r="E59" s="283">
        <v>44197</v>
      </c>
    </row>
    <row r="60" spans="3:5" x14ac:dyDescent="0.3">
      <c r="C60" s="3">
        <v>5240581312</v>
      </c>
      <c r="D60" s="3">
        <v>22</v>
      </c>
      <c r="E60" s="283">
        <v>43344</v>
      </c>
    </row>
    <row r="61" spans="3:5" x14ac:dyDescent="0.3">
      <c r="C61" s="3">
        <v>6240232698</v>
      </c>
      <c r="D61" s="3">
        <v>22</v>
      </c>
      <c r="E61" s="283">
        <v>42370</v>
      </c>
    </row>
    <row r="62" spans="3:5" x14ac:dyDescent="0.3">
      <c r="C62" s="3">
        <v>6240233064</v>
      </c>
      <c r="D62" s="3">
        <v>22</v>
      </c>
      <c r="E62" s="283">
        <v>44197</v>
      </c>
    </row>
  </sheetData>
  <sheetProtection algorithmName="SHA-512" hashValue="DCxEnwh1EPIEQYZ4Lc9cYHUYmLpiRtAX4U3/pAehxH2ufc1tuanNX6wF2cIgZG9pSVfxseYug4buntAzOFLdfQ==" saltValue="ERh3x4RH7/6pyfb0dDFmbA==" spinCount="100000" sheet="1"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E43" sqref="E43:F43"/>
      <selection pane="bottomLeft" activeCell="A23" sqref="A23"/>
    </sheetView>
  </sheetViews>
  <sheetFormatPr defaultColWidth="8.88671875" defaultRowHeight="14.4" x14ac:dyDescent="0.3"/>
  <cols>
    <col min="1" max="1" width="169.44140625" style="3" customWidth="1"/>
    <col min="2" max="16384" width="8.88671875" style="3"/>
  </cols>
  <sheetData>
    <row r="1" spans="1:3" ht="16.8" x14ac:dyDescent="0.3">
      <c r="A1" s="265" t="s">
        <v>197</v>
      </c>
      <c r="C1" s="266" t="s">
        <v>198</v>
      </c>
    </row>
    <row r="2" spans="1:3" ht="16.8" x14ac:dyDescent="0.3">
      <c r="A2" s="267" t="s">
        <v>199</v>
      </c>
      <c r="C2" s="268" t="s">
        <v>200</v>
      </c>
    </row>
    <row r="3" spans="1:3" ht="16.8" x14ac:dyDescent="0.3">
      <c r="A3" s="267" t="s">
        <v>201</v>
      </c>
      <c r="C3" s="268" t="s">
        <v>202</v>
      </c>
    </row>
    <row r="4" spans="1:3" ht="16.8" x14ac:dyDescent="0.3">
      <c r="A4" s="267" t="s">
        <v>203</v>
      </c>
      <c r="C4" s="269" t="s">
        <v>204</v>
      </c>
    </row>
    <row r="5" spans="1:3" ht="16.8" x14ac:dyDescent="0.3">
      <c r="A5" s="267"/>
      <c r="C5" s="270" t="s">
        <v>205</v>
      </c>
    </row>
    <row r="6" spans="1:3" ht="16.8" x14ac:dyDescent="0.3">
      <c r="A6" s="265" t="s">
        <v>206</v>
      </c>
      <c r="C6" s="270" t="s">
        <v>207</v>
      </c>
    </row>
    <row r="7" spans="1:3" ht="16.8" x14ac:dyDescent="0.3">
      <c r="A7" s="271" t="s">
        <v>208</v>
      </c>
      <c r="C7" s="270" t="s">
        <v>209</v>
      </c>
    </row>
    <row r="8" spans="1:3" ht="16.8" x14ac:dyDescent="0.3">
      <c r="A8" s="272" t="s">
        <v>210</v>
      </c>
      <c r="C8" s="270" t="s">
        <v>211</v>
      </c>
    </row>
    <row r="9" spans="1:3" ht="16.8" x14ac:dyDescent="0.3">
      <c r="A9" s="272" t="s">
        <v>212</v>
      </c>
      <c r="C9" s="270" t="s">
        <v>213</v>
      </c>
    </row>
    <row r="10" spans="1:3" ht="33.6" x14ac:dyDescent="0.3">
      <c r="A10" s="273" t="s">
        <v>214</v>
      </c>
      <c r="C10" s="274" t="s">
        <v>215</v>
      </c>
    </row>
    <row r="11" spans="1:3" ht="33.6" x14ac:dyDescent="0.3">
      <c r="A11" s="275" t="s">
        <v>216</v>
      </c>
      <c r="C11" s="276" t="s">
        <v>217</v>
      </c>
    </row>
    <row r="12" spans="1:3" x14ac:dyDescent="0.3">
      <c r="C12" s="270" t="s">
        <v>218</v>
      </c>
    </row>
    <row r="13" spans="1:3" x14ac:dyDescent="0.3">
      <c r="C13" s="270" t="s">
        <v>219</v>
      </c>
    </row>
    <row r="14" spans="1:3" x14ac:dyDescent="0.3">
      <c r="C14" s="270" t="s">
        <v>220</v>
      </c>
    </row>
    <row r="15" spans="1:3" x14ac:dyDescent="0.3">
      <c r="C15" s="276" t="s">
        <v>221</v>
      </c>
    </row>
    <row r="16" spans="1:3" x14ac:dyDescent="0.3">
      <c r="C16" s="277" t="s">
        <v>222</v>
      </c>
    </row>
    <row r="17" spans="1:3" x14ac:dyDescent="0.3">
      <c r="C17" s="277" t="s">
        <v>223</v>
      </c>
    </row>
    <row r="27" spans="1:3" ht="16.8" x14ac:dyDescent="0.3">
      <c r="A27" s="267"/>
    </row>
    <row r="28" spans="1:3" ht="16.8" x14ac:dyDescent="0.3">
      <c r="A28" s="267"/>
    </row>
    <row r="29" spans="1:3" ht="16.8" x14ac:dyDescent="0.3">
      <c r="A29" s="267"/>
    </row>
    <row r="30" spans="1:3" ht="16.8" x14ac:dyDescent="0.3">
      <c r="A30" s="267"/>
    </row>
    <row r="31" spans="1:3" ht="16.8" x14ac:dyDescent="0.3">
      <c r="A31" s="267"/>
    </row>
    <row r="32" spans="1:3" ht="16.8" x14ac:dyDescent="0.3">
      <c r="A32" s="267"/>
    </row>
    <row r="33" spans="1:1" ht="16.8" x14ac:dyDescent="0.3">
      <c r="A33" s="267"/>
    </row>
    <row r="34" spans="1:1" ht="16.8" x14ac:dyDescent="0.3">
      <c r="A34" s="267"/>
    </row>
    <row r="35" spans="1:1" ht="16.8" x14ac:dyDescent="0.3">
      <c r="A35" s="267"/>
    </row>
    <row r="36" spans="1:1" ht="16.8" x14ac:dyDescent="0.3">
      <c r="A36" s="267"/>
    </row>
    <row r="37" spans="1:1" ht="16.8" x14ac:dyDescent="0.3">
      <c r="A37" s="267"/>
    </row>
    <row r="38" spans="1:1" ht="16.8" x14ac:dyDescent="0.3">
      <c r="A38" s="267"/>
    </row>
    <row r="39" spans="1:1" ht="16.8" x14ac:dyDescent="0.3">
      <c r="A39" s="267"/>
    </row>
    <row r="40" spans="1:1" ht="16.8" x14ac:dyDescent="0.3">
      <c r="A40" s="265" t="s">
        <v>224</v>
      </c>
    </row>
    <row r="41" spans="1:1" ht="16.8" x14ac:dyDescent="0.3">
      <c r="A41" s="267" t="s">
        <v>225</v>
      </c>
    </row>
    <row r="42" spans="1:1" ht="16.8" x14ac:dyDescent="0.3">
      <c r="A42" s="267" t="s">
        <v>226</v>
      </c>
    </row>
    <row r="44" spans="1:1" ht="16.8" x14ac:dyDescent="0.3">
      <c r="A44" s="267"/>
    </row>
    <row r="46" spans="1:1" ht="16.8" x14ac:dyDescent="0.3">
      <c r="A46" s="267"/>
    </row>
    <row r="48" spans="1:1" ht="16.8" x14ac:dyDescent="0.3">
      <c r="A48" s="267"/>
    </row>
    <row r="75" spans="2:2" ht="16.8" x14ac:dyDescent="0.3">
      <c r="B75" s="267" t="s">
        <v>227</v>
      </c>
    </row>
    <row r="76" spans="2:2" x14ac:dyDescent="0.3">
      <c r="B76" s="3" t="s">
        <v>228</v>
      </c>
    </row>
    <row r="77" spans="2:2" x14ac:dyDescent="0.3">
      <c r="B77" s="3" t="s">
        <v>229</v>
      </c>
    </row>
    <row r="78" spans="2:2" x14ac:dyDescent="0.3">
      <c r="B78" s="3" t="s">
        <v>230</v>
      </c>
    </row>
    <row r="79" spans="2:2" x14ac:dyDescent="0.3">
      <c r="B79" s="3" t="s">
        <v>231</v>
      </c>
    </row>
    <row r="80" spans="2:2" x14ac:dyDescent="0.3">
      <c r="B80" s="3" t="s">
        <v>232</v>
      </c>
    </row>
  </sheetData>
  <sheetProtection algorithmName="SHA-512" hashValue="FJKyjAN1SqdacYWLvvgfRQ6AWQDeurEAUWT8yFs4DG2RpV1F/Pu+2OMqdLOdCq+jORTLuj6ury/Z3ZphRUOnIg==" saltValue="Xw/MUbANIjJEM9Pmrx5R9g==" spinCount="100000" sheet="1" objects="1" scenarios="1"/>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dodělat</vt:lpstr>
      <vt:lpstr>Výpočet ceny distribuce</vt:lpstr>
      <vt:lpstr>Výpočet výše měsíční kapacity C</vt:lpstr>
      <vt:lpstr>ovládací prvky</vt:lpstr>
      <vt:lpstr>Klasik, CNG, M3R, výrobce</vt:lpstr>
      <vt:lpstr>Špičkový odběr </vt:lpstr>
      <vt:lpstr>popis k nadlimitu</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Bernátová Alena</cp:lastModifiedBy>
  <cp:lastPrinted>2013-04-26T11:53:38Z</cp:lastPrinted>
  <dcterms:created xsi:type="dcterms:W3CDTF">2012-08-24T06:28:25Z</dcterms:created>
  <dcterms:modified xsi:type="dcterms:W3CDTF">2022-12-01T12:48:35Z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