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root.gasnet.cz\cfs\groups-dso\UPK\OSSPK\IS+projekty\Kalkulacky\faktury_2026\"/>
    </mc:Choice>
  </mc:AlternateContent>
  <xr:revisionPtr revIDLastSave="0" documentId="13_ncr:1_{8AD7B88D-6760-47FB-A058-CD4CD38F8F3C}" xr6:coauthVersionLast="47" xr6:coauthVersionMax="47" xr10:uidLastSave="{00000000-0000-0000-0000-000000000000}"/>
  <workbookProtection workbookAlgorithmName="SHA-512" workbookHashValue="7ZubAXKbTph57QuH0w0ZgBPl2kdXNlLHUz/SAz2xvoX4SPZjaSpmbTHG3eGtexT/9UdhKf13oL+N+IbxHzbODA==" workbookSaltValue="QoDvVpdmpH2nYQuYsGfcug==" workbookSpinCount="100000" lockStructure="1"/>
  <bookViews>
    <workbookView xWindow="-108" yWindow="-108" windowWidth="23256" windowHeight="13896" tabRatio="880" firstSheet="1" activeTab="1" xr2:uid="{00000000-000D-0000-FFFF-FFFF00000000}"/>
  </bookViews>
  <sheets>
    <sheet name="dodělat" sheetId="21" state="hidden" r:id="rId1"/>
    <sheet name="Výpočet ceny distribuce" sheetId="7" r:id="rId2"/>
    <sheet name="Kontrola" sheetId="22" state="hidden" r:id="rId3"/>
    <sheet name="Výpočet výše měsíční kapacity C" sheetId="19" r:id="rId4"/>
    <sheet name="ovládací prvky" sheetId="20" state="hidden" r:id="rId5"/>
    <sheet name="Klasik, CNG, M3R, výrobce" sheetId="16" state="hidden" r:id="rId6"/>
    <sheet name="Špičkový odběr " sheetId="18" state="hidden" r:id="rId7"/>
    <sheet name="popis k nadlimitu" sheetId="17" state="hidden" r:id="rId8"/>
  </sheets>
  <definedNames>
    <definedName name="_Hlk89075508" localSheetId="7">'popis k nadlimitu'!$C$3</definedName>
    <definedName name="_kl1">#REF!</definedName>
    <definedName name="_kl2">#REF!</definedName>
    <definedName name="_kl3">#REF!</definedName>
    <definedName name="_kl4">#REF!</definedName>
    <definedName name="_kl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22" l="1"/>
  <c r="A48" i="22"/>
  <c r="F39" i="22"/>
  <c r="A39" i="22"/>
  <c r="AJ30" i="16"/>
  <c r="AJ29" i="16"/>
  <c r="AJ28" i="16"/>
  <c r="AJ27" i="16"/>
  <c r="AG30" i="16"/>
  <c r="AG29" i="16"/>
  <c r="AG28" i="16"/>
  <c r="AG27" i="16"/>
  <c r="AD30" i="16"/>
  <c r="AD29" i="16"/>
  <c r="AD28" i="16"/>
  <c r="AD27" i="16"/>
  <c r="AA30" i="16" l="1"/>
  <c r="AA29" i="16"/>
  <c r="AA28" i="16"/>
  <c r="AA27" i="16"/>
  <c r="A30" i="22"/>
  <c r="F30" i="22" s="1"/>
  <c r="A24" i="22"/>
  <c r="F24" i="22" s="1"/>
  <c r="A14" i="22"/>
  <c r="F14" i="22" s="1"/>
  <c r="A8" i="22"/>
  <c r="F8" i="22" s="1"/>
  <c r="H46" i="16" l="1"/>
  <c r="H45" i="16"/>
  <c r="E53" i="16" l="1"/>
  <c r="E54" i="16"/>
  <c r="J50" i="16" l="1"/>
  <c r="J49" i="16"/>
  <c r="B24" i="7" l="1"/>
  <c r="J18" i="16"/>
  <c r="J19" i="16"/>
  <c r="J20" i="16"/>
  <c r="J21" i="16"/>
  <c r="J22" i="16"/>
  <c r="J23" i="16"/>
  <c r="J24" i="16"/>
  <c r="J25" i="16"/>
  <c r="J17" i="16"/>
  <c r="J16" i="16"/>
  <c r="J15" i="16"/>
  <c r="L24" i="7"/>
  <c r="L44" i="7"/>
  <c r="I17" i="7"/>
  <c r="O39" i="16"/>
  <c r="I16" i="7"/>
  <c r="P18" i="20"/>
  <c r="K16" i="20"/>
  <c r="K17" i="20"/>
  <c r="L14" i="20"/>
  <c r="M14" i="20" s="1"/>
  <c r="P14" i="20" s="1"/>
  <c r="L15" i="20"/>
  <c r="K19" i="20"/>
  <c r="M19" i="20" s="1"/>
  <c r="P19" i="20" s="1"/>
  <c r="K18" i="20"/>
  <c r="M18" i="20" s="1"/>
  <c r="O37" i="16"/>
  <c r="M17" i="20" l="1"/>
  <c r="M16" i="20"/>
  <c r="O18" i="20"/>
  <c r="M15" i="20"/>
  <c r="O19" i="20"/>
  <c r="O14" i="20"/>
  <c r="D34" i="20"/>
  <c r="F10" i="16"/>
  <c r="F48" i="7"/>
  <c r="L14" i="7"/>
  <c r="O17" i="20" l="1"/>
  <c r="P17" i="20"/>
  <c r="O16" i="20"/>
  <c r="P16" i="20"/>
  <c r="O15" i="20"/>
  <c r="K5" i="16" s="1"/>
  <c r="P15" i="20"/>
  <c r="E34" i="20"/>
  <c r="F34" i="20" s="1"/>
  <c r="G34" i="20" s="1"/>
  <c r="H34" i="20" s="1"/>
  <c r="I34" i="20" s="1"/>
  <c r="J34" i="20" s="1"/>
  <c r="K34" i="20" s="1"/>
  <c r="L34" i="20" s="1"/>
  <c r="M34" i="20" s="1"/>
  <c r="N34" i="20" s="1"/>
  <c r="O34" i="20" s="1"/>
  <c r="P34" i="20" s="1"/>
  <c r="Q34" i="20" s="1"/>
  <c r="R34" i="20" s="1"/>
  <c r="S34" i="20" s="1"/>
  <c r="T34" i="20" s="1"/>
  <c r="U34" i="20" s="1"/>
  <c r="V34" i="20" s="1"/>
  <c r="W34" i="20" s="1"/>
  <c r="X34" i="20" s="1"/>
  <c r="Y34" i="20" s="1"/>
  <c r="Z34" i="20" s="1"/>
  <c r="AA34" i="20" s="1"/>
  <c r="AB34" i="20" s="1"/>
  <c r="AC34" i="20" s="1"/>
  <c r="AD34" i="20" s="1"/>
  <c r="AE34" i="20" s="1"/>
  <c r="AF34" i="20" s="1"/>
  <c r="AG34" i="20" s="1"/>
  <c r="AH34" i="20" s="1"/>
  <c r="G19" i="20"/>
  <c r="H19" i="20"/>
  <c r="G20" i="20"/>
  <c r="H20" i="20"/>
  <c r="G21" i="20"/>
  <c r="H21" i="20"/>
  <c r="G22" i="20"/>
  <c r="H22" i="20"/>
  <c r="G24" i="20"/>
  <c r="H24" i="20"/>
  <c r="G25" i="20"/>
  <c r="H25" i="20"/>
  <c r="Q13" i="20" l="1"/>
  <c r="N11" i="7" s="1"/>
  <c r="L42" i="7"/>
  <c r="L39" i="7"/>
  <c r="L36" i="7"/>
  <c r="L33" i="7"/>
  <c r="L30" i="7"/>
  <c r="L20" i="7"/>
  <c r="L21" i="7"/>
  <c r="L22" i="7"/>
  <c r="L23" i="7"/>
  <c r="I15" i="7"/>
  <c r="J12" i="16"/>
  <c r="L16" i="7"/>
  <c r="G7" i="20"/>
  <c r="O38" i="16" l="1"/>
  <c r="F33" i="16"/>
  <c r="J37" i="16"/>
  <c r="J13" i="16"/>
  <c r="H37" i="16" l="1"/>
  <c r="F29" i="16" s="1"/>
  <c r="L47" i="7"/>
  <c r="H11" i="16"/>
  <c r="B7" i="19" l="1"/>
  <c r="G9" i="19" s="1"/>
  <c r="H10" i="16" l="1"/>
  <c r="J14" i="16" l="1"/>
  <c r="K15" i="16" s="1"/>
  <c r="A13" i="20" l="1"/>
  <c r="J13" i="18"/>
  <c r="J60" i="16"/>
  <c r="L5" i="16"/>
  <c r="L4" i="16"/>
  <c r="D19" i="20" l="1"/>
  <c r="D22" i="20"/>
  <c r="D20" i="20"/>
  <c r="D14" i="20"/>
  <c r="D18" i="20"/>
  <c r="D25" i="20"/>
  <c r="D17" i="20"/>
  <c r="D24" i="20"/>
  <c r="D16" i="20"/>
  <c r="D21" i="20"/>
  <c r="D23" i="20"/>
  <c r="D15" i="20"/>
  <c r="K8" i="18"/>
  <c r="D35" i="20" l="1"/>
  <c r="D36" i="20" s="1"/>
  <c r="F49" i="20"/>
  <c r="E7" i="7" s="1"/>
  <c r="F5" i="16"/>
  <c r="E35" i="20" l="1"/>
  <c r="F35" i="20" s="1"/>
  <c r="D37" i="20"/>
  <c r="E36" i="20"/>
  <c r="F36" i="20" s="1"/>
  <c r="G36" i="20" s="1"/>
  <c r="H36" i="20" s="1"/>
  <c r="I36" i="20" s="1"/>
  <c r="J36" i="20" s="1"/>
  <c r="K36" i="20" s="1"/>
  <c r="L36" i="20" s="1"/>
  <c r="M36" i="20" s="1"/>
  <c r="N36" i="20" s="1"/>
  <c r="O36" i="20" s="1"/>
  <c r="P36" i="20" s="1"/>
  <c r="Q36" i="20" s="1"/>
  <c r="R36" i="20" s="1"/>
  <c r="S36" i="20" s="1"/>
  <c r="T36" i="20" s="1"/>
  <c r="U36" i="20" s="1"/>
  <c r="V36" i="20" s="1"/>
  <c r="W36" i="20" s="1"/>
  <c r="X36" i="20" s="1"/>
  <c r="Y36" i="20" s="1"/>
  <c r="Z36" i="20" s="1"/>
  <c r="AA36" i="20" s="1"/>
  <c r="AB36" i="20" s="1"/>
  <c r="AC36" i="20" s="1"/>
  <c r="AD36" i="20" s="1"/>
  <c r="AE36" i="20" s="1"/>
  <c r="AF36" i="20" s="1"/>
  <c r="AG36" i="20" s="1"/>
  <c r="AH36" i="20" s="1"/>
  <c r="F19" i="16"/>
  <c r="F18" i="16"/>
  <c r="L60" i="16"/>
  <c r="F14" i="20" s="1"/>
  <c r="H14" i="20" s="1"/>
  <c r="D9" i="18"/>
  <c r="K11" i="18"/>
  <c r="K10" i="18" s="1"/>
  <c r="D38" i="20" l="1"/>
  <c r="E37" i="20"/>
  <c r="F37" i="20" s="1"/>
  <c r="G37" i="20" s="1"/>
  <c r="H37" i="20" s="1"/>
  <c r="I37" i="20" s="1"/>
  <c r="J37" i="20" s="1"/>
  <c r="K37" i="20" s="1"/>
  <c r="L37" i="20" s="1"/>
  <c r="M37" i="20" s="1"/>
  <c r="N37" i="20" s="1"/>
  <c r="O37" i="20" s="1"/>
  <c r="P37" i="20" s="1"/>
  <c r="Q37" i="20" s="1"/>
  <c r="R37" i="20" s="1"/>
  <c r="S37" i="20" s="1"/>
  <c r="T37" i="20" s="1"/>
  <c r="U37" i="20" s="1"/>
  <c r="V37" i="20" s="1"/>
  <c r="W37" i="20" s="1"/>
  <c r="X37" i="20" s="1"/>
  <c r="Y37" i="20" s="1"/>
  <c r="Z37" i="20" s="1"/>
  <c r="AA37" i="20" s="1"/>
  <c r="AB37" i="20" s="1"/>
  <c r="AC37" i="20" s="1"/>
  <c r="AD37" i="20" s="1"/>
  <c r="AE37" i="20" s="1"/>
  <c r="AF37" i="20" s="1"/>
  <c r="AG37" i="20" s="1"/>
  <c r="G35" i="20"/>
  <c r="I5" i="18"/>
  <c r="I4" i="18"/>
  <c r="H5" i="18"/>
  <c r="H4" i="18"/>
  <c r="G5" i="18"/>
  <c r="G4" i="18"/>
  <c r="F5" i="18"/>
  <c r="F4" i="18"/>
  <c r="A16" i="18"/>
  <c r="A17" i="18"/>
  <c r="A18" i="18"/>
  <c r="A15" i="18"/>
  <c r="P19" i="18"/>
  <c r="O19" i="18"/>
  <c r="H35" i="20" l="1"/>
  <c r="D39" i="20"/>
  <c r="E38" i="20"/>
  <c r="F38" i="20" s="1"/>
  <c r="G38" i="20" s="1"/>
  <c r="H38" i="20" s="1"/>
  <c r="I38" i="20" s="1"/>
  <c r="J38" i="20" s="1"/>
  <c r="K38" i="20" s="1"/>
  <c r="L38" i="20" s="1"/>
  <c r="M38" i="20" s="1"/>
  <c r="N38" i="20" s="1"/>
  <c r="O38" i="20" s="1"/>
  <c r="P38" i="20" s="1"/>
  <c r="Q38" i="20" s="1"/>
  <c r="R38" i="20" s="1"/>
  <c r="S38" i="20" s="1"/>
  <c r="T38" i="20" s="1"/>
  <c r="U38" i="20" s="1"/>
  <c r="V38" i="20" s="1"/>
  <c r="W38" i="20" s="1"/>
  <c r="X38" i="20" s="1"/>
  <c r="Y38" i="20" s="1"/>
  <c r="Z38" i="20" s="1"/>
  <c r="AA38" i="20" s="1"/>
  <c r="AB38" i="20" s="1"/>
  <c r="AC38" i="20" s="1"/>
  <c r="AD38" i="20" s="1"/>
  <c r="AE38" i="20" s="1"/>
  <c r="AF38" i="20" s="1"/>
  <c r="AG38" i="20" s="1"/>
  <c r="AH38" i="20" s="1"/>
  <c r="A19" i="18"/>
  <c r="G19" i="18" s="1"/>
  <c r="D40" i="20" l="1"/>
  <c r="E39" i="20"/>
  <c r="F39" i="20" s="1"/>
  <c r="G39" i="20" s="1"/>
  <c r="H39" i="20" s="1"/>
  <c r="I39" i="20" s="1"/>
  <c r="J39" i="20" s="1"/>
  <c r="K39" i="20" s="1"/>
  <c r="L39" i="20" s="1"/>
  <c r="M39" i="20" s="1"/>
  <c r="N39" i="20" s="1"/>
  <c r="O39" i="20" s="1"/>
  <c r="P39" i="20" s="1"/>
  <c r="Q39" i="20" s="1"/>
  <c r="R39" i="20" s="1"/>
  <c r="S39" i="20" s="1"/>
  <c r="T39" i="20" s="1"/>
  <c r="U39" i="20" s="1"/>
  <c r="V39" i="20" s="1"/>
  <c r="W39" i="20" s="1"/>
  <c r="X39" i="20" s="1"/>
  <c r="Y39" i="20" s="1"/>
  <c r="Z39" i="20" s="1"/>
  <c r="AA39" i="20" s="1"/>
  <c r="AB39" i="20" s="1"/>
  <c r="AC39" i="20" s="1"/>
  <c r="AD39" i="20" s="1"/>
  <c r="AE39" i="20" s="1"/>
  <c r="AF39" i="20" s="1"/>
  <c r="AG39" i="20" s="1"/>
  <c r="I35" i="20"/>
  <c r="H5" i="16"/>
  <c r="W30" i="16" s="1"/>
  <c r="F6" i="16"/>
  <c r="J35" i="20" l="1"/>
  <c r="D41" i="20"/>
  <c r="E40" i="20"/>
  <c r="F40" i="20" s="1"/>
  <c r="G40" i="20" s="1"/>
  <c r="H40" i="20" s="1"/>
  <c r="I40" i="20" s="1"/>
  <c r="J40" i="20" s="1"/>
  <c r="K40" i="20" s="1"/>
  <c r="L40" i="20" s="1"/>
  <c r="M40" i="20" s="1"/>
  <c r="N40" i="20" s="1"/>
  <c r="O40" i="20" s="1"/>
  <c r="P40" i="20" s="1"/>
  <c r="Q40" i="20" s="1"/>
  <c r="R40" i="20" s="1"/>
  <c r="S40" i="20" s="1"/>
  <c r="T40" i="20" s="1"/>
  <c r="U40" i="20" s="1"/>
  <c r="V40" i="20" s="1"/>
  <c r="W40" i="20" s="1"/>
  <c r="X40" i="20" s="1"/>
  <c r="Y40" i="20" s="1"/>
  <c r="Z40" i="20" s="1"/>
  <c r="AA40" i="20" s="1"/>
  <c r="AB40" i="20" s="1"/>
  <c r="AC40" i="20" s="1"/>
  <c r="AD40" i="20" s="1"/>
  <c r="AE40" i="20" s="1"/>
  <c r="AF40" i="20" s="1"/>
  <c r="AG40" i="20" s="1"/>
  <c r="AH40" i="20" s="1"/>
  <c r="J5" i="16"/>
  <c r="M4" i="16"/>
  <c r="F11" i="18"/>
  <c r="D11" i="18" s="1"/>
  <c r="G10" i="18"/>
  <c r="F10" i="18"/>
  <c r="E8" i="18"/>
  <c r="G11" i="19"/>
  <c r="P21" i="19"/>
  <c r="P22" i="19" s="1"/>
  <c r="G18" i="18"/>
  <c r="G17" i="18"/>
  <c r="G16" i="18"/>
  <c r="G15" i="18"/>
  <c r="L8" i="18"/>
  <c r="D42" i="20" l="1"/>
  <c r="E41" i="20"/>
  <c r="F41" i="20" s="1"/>
  <c r="G41" i="20" s="1"/>
  <c r="H41" i="20" s="1"/>
  <c r="I41" i="20" s="1"/>
  <c r="J41" i="20" s="1"/>
  <c r="K41" i="20" s="1"/>
  <c r="L41" i="20" s="1"/>
  <c r="M41" i="20" s="1"/>
  <c r="N41" i="20" s="1"/>
  <c r="O41" i="20" s="1"/>
  <c r="P41" i="20" s="1"/>
  <c r="Q41" i="20" s="1"/>
  <c r="R41" i="20" s="1"/>
  <c r="S41" i="20" s="1"/>
  <c r="T41" i="20" s="1"/>
  <c r="U41" i="20" s="1"/>
  <c r="V41" i="20" s="1"/>
  <c r="W41" i="20" s="1"/>
  <c r="X41" i="20" s="1"/>
  <c r="Y41" i="20" s="1"/>
  <c r="Z41" i="20" s="1"/>
  <c r="AA41" i="20" s="1"/>
  <c r="AB41" i="20" s="1"/>
  <c r="AC41" i="20" s="1"/>
  <c r="AD41" i="20" s="1"/>
  <c r="AE41" i="20" s="1"/>
  <c r="AF41" i="20" s="1"/>
  <c r="AG41" i="20" s="1"/>
  <c r="AH41" i="20" s="1"/>
  <c r="K35" i="20"/>
  <c r="H10" i="18"/>
  <c r="D10" i="18" s="1"/>
  <c r="G20" i="19"/>
  <c r="O20" i="19" s="1"/>
  <c r="K6" i="18"/>
  <c r="K7" i="18"/>
  <c r="K9" i="18" s="1"/>
  <c r="E10" i="18"/>
  <c r="E16" i="18" s="1"/>
  <c r="C9" i="19"/>
  <c r="C17" i="19"/>
  <c r="I17" i="19" s="1"/>
  <c r="J17" i="19" s="1"/>
  <c r="G19" i="19"/>
  <c r="C16" i="19"/>
  <c r="I16" i="19" s="1"/>
  <c r="J16" i="19" s="1"/>
  <c r="C15" i="19"/>
  <c r="I15" i="19" s="1"/>
  <c r="J15" i="19" s="1"/>
  <c r="G17" i="19"/>
  <c r="G18" i="19"/>
  <c r="O11" i="19"/>
  <c r="G15" i="19"/>
  <c r="C12" i="19"/>
  <c r="I12" i="19" s="1"/>
  <c r="J12" i="19" s="1"/>
  <c r="G14" i="19"/>
  <c r="C20" i="19"/>
  <c r="I20" i="19" s="1"/>
  <c r="J20" i="19" s="1"/>
  <c r="G10" i="19"/>
  <c r="C14" i="19"/>
  <c r="I14" i="19" s="1"/>
  <c r="J14" i="19" s="1"/>
  <c r="G16" i="19"/>
  <c r="C13" i="19"/>
  <c r="I13" i="19" s="1"/>
  <c r="J13" i="19" s="1"/>
  <c r="C11" i="19"/>
  <c r="I11" i="19" s="1"/>
  <c r="J11" i="19" s="1"/>
  <c r="G13" i="19"/>
  <c r="C19" i="19"/>
  <c r="I19" i="19" s="1"/>
  <c r="J19" i="19" s="1"/>
  <c r="C10" i="19"/>
  <c r="I10" i="19" s="1"/>
  <c r="J10" i="19" s="1"/>
  <c r="G12" i="19"/>
  <c r="C18" i="19"/>
  <c r="I18" i="19" s="1"/>
  <c r="J18" i="19" s="1"/>
  <c r="L35" i="20" l="1"/>
  <c r="D43" i="20"/>
  <c r="B34" i="20" s="1"/>
  <c r="E42" i="20"/>
  <c r="F42" i="20" s="1"/>
  <c r="G42" i="20" s="1"/>
  <c r="H42" i="20" s="1"/>
  <c r="I42" i="20" s="1"/>
  <c r="J42" i="20" s="1"/>
  <c r="K42" i="20" s="1"/>
  <c r="L42" i="20" s="1"/>
  <c r="M42" i="20" s="1"/>
  <c r="N42" i="20" s="1"/>
  <c r="O42" i="20" s="1"/>
  <c r="P42" i="20" s="1"/>
  <c r="Q42" i="20" s="1"/>
  <c r="R42" i="20" s="1"/>
  <c r="S42" i="20" s="1"/>
  <c r="T42" i="20" s="1"/>
  <c r="U42" i="20" s="1"/>
  <c r="V42" i="20" s="1"/>
  <c r="W42" i="20" s="1"/>
  <c r="X42" i="20" s="1"/>
  <c r="Y42" i="20" s="1"/>
  <c r="Z42" i="20" s="1"/>
  <c r="AA42" i="20" s="1"/>
  <c r="AB42" i="20" s="1"/>
  <c r="AC42" i="20" s="1"/>
  <c r="AD42" i="20" s="1"/>
  <c r="AE42" i="20" s="1"/>
  <c r="AF42" i="20" s="1"/>
  <c r="AG42" i="20" s="1"/>
  <c r="I9" i="19"/>
  <c r="J9" i="19" s="1"/>
  <c r="J22" i="19" s="1"/>
  <c r="F9" i="19"/>
  <c r="N9" i="19" s="1"/>
  <c r="E18" i="18"/>
  <c r="K18" i="18" s="1"/>
  <c r="D15" i="18"/>
  <c r="F15" i="18" s="1"/>
  <c r="D17" i="18"/>
  <c r="F17" i="18" s="1"/>
  <c r="D16" i="18"/>
  <c r="D18" i="18"/>
  <c r="F18" i="18" s="1"/>
  <c r="K16" i="18"/>
  <c r="E15" i="18"/>
  <c r="E17" i="18"/>
  <c r="K17" i="18" s="1"/>
  <c r="F19" i="19"/>
  <c r="N19" i="19" s="1"/>
  <c r="O19" i="19"/>
  <c r="F13" i="19"/>
  <c r="N13" i="19" s="1"/>
  <c r="O13" i="19"/>
  <c r="O14" i="19"/>
  <c r="F14" i="19"/>
  <c r="N14" i="19" s="1"/>
  <c r="O18" i="19"/>
  <c r="F18" i="19"/>
  <c r="N18" i="19" s="1"/>
  <c r="O17" i="19"/>
  <c r="F17" i="19"/>
  <c r="N17" i="19" s="1"/>
  <c r="F11" i="19"/>
  <c r="N11" i="19" s="1"/>
  <c r="O16" i="19"/>
  <c r="F16" i="19"/>
  <c r="N16" i="19" s="1"/>
  <c r="C21" i="19"/>
  <c r="F15" i="19"/>
  <c r="N15" i="19" s="1"/>
  <c r="O15" i="19"/>
  <c r="O9" i="19"/>
  <c r="F12" i="19"/>
  <c r="N12" i="19" s="1"/>
  <c r="O12" i="19"/>
  <c r="O10" i="19"/>
  <c r="F10" i="19"/>
  <c r="N10" i="19" s="1"/>
  <c r="F20" i="19"/>
  <c r="N20" i="19" s="1"/>
  <c r="D44" i="20" l="1"/>
  <c r="E43" i="20"/>
  <c r="M35" i="20"/>
  <c r="E19" i="18"/>
  <c r="J66" i="7" s="1"/>
  <c r="K15" i="18"/>
  <c r="F16" i="18"/>
  <c r="D19" i="18"/>
  <c r="F43" i="20" l="1"/>
  <c r="B35" i="20"/>
  <c r="N35" i="20"/>
  <c r="D45" i="20"/>
  <c r="E45" i="20" s="1"/>
  <c r="F45" i="20" s="1"/>
  <c r="G45" i="20" s="1"/>
  <c r="H45" i="20" s="1"/>
  <c r="I45" i="20" s="1"/>
  <c r="J45" i="20" s="1"/>
  <c r="K45" i="20" s="1"/>
  <c r="L45" i="20" s="1"/>
  <c r="M45" i="20" s="1"/>
  <c r="N45" i="20" s="1"/>
  <c r="O45" i="20" s="1"/>
  <c r="P45" i="20" s="1"/>
  <c r="Q45" i="20" s="1"/>
  <c r="R45" i="20" s="1"/>
  <c r="S45" i="20" s="1"/>
  <c r="T45" i="20" s="1"/>
  <c r="U45" i="20" s="1"/>
  <c r="V45" i="20" s="1"/>
  <c r="W45" i="20" s="1"/>
  <c r="X45" i="20" s="1"/>
  <c r="Y45" i="20" s="1"/>
  <c r="Z45" i="20" s="1"/>
  <c r="AA45" i="20" s="1"/>
  <c r="AB45" i="20" s="1"/>
  <c r="AC45" i="20" s="1"/>
  <c r="AD45" i="20" s="1"/>
  <c r="AE45" i="20" s="1"/>
  <c r="AF45" i="20" s="1"/>
  <c r="AG45" i="20" s="1"/>
  <c r="AH45" i="20" s="1"/>
  <c r="E44" i="20"/>
  <c r="F44" i="20" s="1"/>
  <c r="G44" i="20" s="1"/>
  <c r="H44" i="20" s="1"/>
  <c r="I44" i="20" s="1"/>
  <c r="J44" i="20" s="1"/>
  <c r="K44" i="20" s="1"/>
  <c r="L44" i="20" s="1"/>
  <c r="M44" i="20" s="1"/>
  <c r="N44" i="20" s="1"/>
  <c r="O44" i="20" s="1"/>
  <c r="P44" i="20" s="1"/>
  <c r="Q44" i="20" s="1"/>
  <c r="R44" i="20" s="1"/>
  <c r="S44" i="20" s="1"/>
  <c r="T44" i="20" s="1"/>
  <c r="U44" i="20" s="1"/>
  <c r="V44" i="20" s="1"/>
  <c r="W44" i="20" s="1"/>
  <c r="X44" i="20" s="1"/>
  <c r="Y44" i="20" s="1"/>
  <c r="Z44" i="20" s="1"/>
  <c r="AA44" i="20" s="1"/>
  <c r="AB44" i="20" s="1"/>
  <c r="AC44" i="20" s="1"/>
  <c r="AD44" i="20" s="1"/>
  <c r="AE44" i="20" s="1"/>
  <c r="AF44" i="20" s="1"/>
  <c r="AG44" i="20" s="1"/>
  <c r="K19" i="18"/>
  <c r="K66" i="7" s="1"/>
  <c r="F72" i="7" s="1"/>
  <c r="F19" i="18"/>
  <c r="G43" i="20" l="1"/>
  <c r="B36" i="20"/>
  <c r="O35" i="20"/>
  <c r="H43" i="20" l="1"/>
  <c r="B37" i="20"/>
  <c r="P35" i="20"/>
  <c r="I43" i="20" l="1"/>
  <c r="B38" i="20"/>
  <c r="Q35" i="20"/>
  <c r="J43" i="20" l="1"/>
  <c r="B39" i="20"/>
  <c r="D50" i="20" s="1"/>
  <c r="F7" i="16" s="1"/>
  <c r="R35" i="20"/>
  <c r="O30" i="16"/>
  <c r="O29" i="16"/>
  <c r="O28" i="16"/>
  <c r="O27" i="16"/>
  <c r="O26" i="16"/>
  <c r="N26" i="16"/>
  <c r="N27" i="16"/>
  <c r="K43" i="20" l="1"/>
  <c r="B40" i="20"/>
  <c r="S35" i="20"/>
  <c r="F78" i="16"/>
  <c r="E78" i="16"/>
  <c r="L43" i="20" l="1"/>
  <c r="B41" i="20"/>
  <c r="T35" i="20"/>
  <c r="F76" i="16"/>
  <c r="E76" i="16"/>
  <c r="M43" i="20" l="1"/>
  <c r="B42" i="20"/>
  <c r="U35" i="20"/>
  <c r="N30" i="16"/>
  <c r="N29" i="16"/>
  <c r="N28" i="16"/>
  <c r="J30" i="16"/>
  <c r="J29" i="16"/>
  <c r="J28" i="16"/>
  <c r="J27" i="16"/>
  <c r="J26" i="16"/>
  <c r="H26" i="16" s="1"/>
  <c r="J11" i="16"/>
  <c r="I78" i="16" l="1"/>
  <c r="H78" i="16"/>
  <c r="G78" i="16"/>
  <c r="N43" i="20"/>
  <c r="B43" i="20"/>
  <c r="V35" i="20"/>
  <c r="G76" i="16"/>
  <c r="H76" i="16"/>
  <c r="I76" i="16"/>
  <c r="J71" i="16"/>
  <c r="F71" i="16"/>
  <c r="J70" i="16"/>
  <c r="F70" i="16"/>
  <c r="J69" i="16"/>
  <c r="L69" i="16" s="1"/>
  <c r="F23" i="20" s="1"/>
  <c r="H23" i="20" s="1"/>
  <c r="F69" i="16"/>
  <c r="J68" i="16"/>
  <c r="L68" i="16" s="1"/>
  <c r="F22" i="20" s="1"/>
  <c r="F68" i="16"/>
  <c r="J67" i="16"/>
  <c r="F67" i="16"/>
  <c r="J66" i="16"/>
  <c r="F66" i="16"/>
  <c r="J65" i="16"/>
  <c r="L65" i="16" s="1"/>
  <c r="F19" i="20" s="1"/>
  <c r="F65" i="16"/>
  <c r="J64" i="16"/>
  <c r="F64" i="16"/>
  <c r="J63" i="16"/>
  <c r="L63" i="16" s="1"/>
  <c r="F17" i="20" s="1"/>
  <c r="H17" i="20" s="1"/>
  <c r="F63" i="16"/>
  <c r="J62" i="16"/>
  <c r="F62" i="16"/>
  <c r="J61" i="16"/>
  <c r="L61" i="16" s="1"/>
  <c r="F15" i="20" s="1"/>
  <c r="H15" i="20" s="1"/>
  <c r="F61" i="16"/>
  <c r="F60" i="16"/>
  <c r="J59" i="16"/>
  <c r="L37" i="16"/>
  <c r="F53" i="16"/>
  <c r="D6" i="18" s="1"/>
  <c r="F51" i="16"/>
  <c r="K50" i="16"/>
  <c r="F50" i="16"/>
  <c r="K49" i="16"/>
  <c r="F49" i="16"/>
  <c r="K48" i="16"/>
  <c r="F48" i="16"/>
  <c r="K47" i="16"/>
  <c r="F47" i="16"/>
  <c r="M46" i="16"/>
  <c r="K46" i="16"/>
  <c r="F46" i="16"/>
  <c r="D5" i="18" s="1"/>
  <c r="H17" i="18" s="1"/>
  <c r="I17" i="18" s="1"/>
  <c r="M45" i="16"/>
  <c r="K45" i="16"/>
  <c r="F45" i="16"/>
  <c r="F34" i="16"/>
  <c r="P31" i="16"/>
  <c r="H30" i="16"/>
  <c r="H29" i="16"/>
  <c r="H28" i="16"/>
  <c r="H27" i="16"/>
  <c r="P19" i="16"/>
  <c r="G19" i="16"/>
  <c r="P18" i="16"/>
  <c r="B18" i="16"/>
  <c r="B19" i="16" s="1"/>
  <c r="B20" i="16" s="1"/>
  <c r="H15" i="16"/>
  <c r="H13" i="16"/>
  <c r="H12" i="16"/>
  <c r="J32" i="16"/>
  <c r="I18" i="7"/>
  <c r="F69" i="7"/>
  <c r="E4" i="18" l="1"/>
  <c r="H16" i="18" s="1"/>
  <c r="AD11" i="16"/>
  <c r="AE11" i="16" s="1"/>
  <c r="E5" i="18"/>
  <c r="H18" i="18" s="1"/>
  <c r="I18" i="18" s="1"/>
  <c r="AJ11" i="16"/>
  <c r="AK11" i="16" s="1"/>
  <c r="L38" i="16"/>
  <c r="D4" i="18"/>
  <c r="H15" i="18" s="1"/>
  <c r="I15" i="18" s="1"/>
  <c r="AA11" i="16"/>
  <c r="AB11" i="16" s="1"/>
  <c r="J18" i="18"/>
  <c r="K69" i="7" s="1"/>
  <c r="J15" i="18"/>
  <c r="J16" i="18"/>
  <c r="J19" i="18" s="1"/>
  <c r="J69" i="7"/>
  <c r="J17" i="18"/>
  <c r="L17" i="18" s="1"/>
  <c r="M17" i="18" s="1"/>
  <c r="O43" i="20"/>
  <c r="B44" i="20"/>
  <c r="F36" i="16"/>
  <c r="J38" i="16" s="1"/>
  <c r="C5" i="7"/>
  <c r="K61" i="16"/>
  <c r="E15" i="20" s="1"/>
  <c r="G15" i="20" s="1"/>
  <c r="W35" i="20"/>
  <c r="K64" i="16"/>
  <c r="E18" i="20" s="1"/>
  <c r="G18" i="20" s="1"/>
  <c r="L64" i="16"/>
  <c r="F18" i="20" s="1"/>
  <c r="H18" i="20" s="1"/>
  <c r="K62" i="16"/>
  <c r="L62" i="16"/>
  <c r="K70" i="16"/>
  <c r="E24" i="20" s="1"/>
  <c r="L70" i="16"/>
  <c r="F24" i="20" s="1"/>
  <c r="K67" i="16"/>
  <c r="E21" i="20" s="1"/>
  <c r="L67" i="16"/>
  <c r="F21" i="20" s="1"/>
  <c r="K71" i="16"/>
  <c r="E25" i="20" s="1"/>
  <c r="L71" i="16"/>
  <c r="F25" i="20" s="1"/>
  <c r="I77" i="16"/>
  <c r="K60" i="16"/>
  <c r="K66" i="16"/>
  <c r="E20" i="20" s="1"/>
  <c r="L66" i="16"/>
  <c r="F20" i="20" s="1"/>
  <c r="AG32" i="16"/>
  <c r="AJ32" i="16"/>
  <c r="AK32" i="16" s="1"/>
  <c r="AD32" i="16"/>
  <c r="AE32" i="16" s="1"/>
  <c r="AA32" i="16"/>
  <c r="AB32" i="16" s="1"/>
  <c r="X32" i="16"/>
  <c r="J48" i="7" s="1"/>
  <c r="K68" i="16"/>
  <c r="E22" i="20" s="1"/>
  <c r="G77" i="16"/>
  <c r="K65" i="16"/>
  <c r="E19" i="20" s="1"/>
  <c r="K69" i="16"/>
  <c r="E23" i="20" s="1"/>
  <c r="G23" i="20" s="1"/>
  <c r="K63" i="16"/>
  <c r="E17" i="20" s="1"/>
  <c r="G17" i="20" s="1"/>
  <c r="F77" i="16"/>
  <c r="E77" i="16"/>
  <c r="H77" i="16"/>
  <c r="AH32" i="16"/>
  <c r="AG11" i="16"/>
  <c r="AH11" i="16" s="1"/>
  <c r="F30" i="16"/>
  <c r="F31" i="16" s="1"/>
  <c r="F32" i="16" s="1"/>
  <c r="P20" i="16"/>
  <c r="P29" i="16"/>
  <c r="K38" i="16"/>
  <c r="P21" i="16"/>
  <c r="P26" i="16"/>
  <c r="F52" i="7" s="1"/>
  <c r="F8" i="16"/>
  <c r="P16" i="16"/>
  <c r="P22" i="16"/>
  <c r="P23" i="16"/>
  <c r="P24" i="16"/>
  <c r="P25" i="16"/>
  <c r="F72" i="16"/>
  <c r="P17" i="16"/>
  <c r="P27" i="16"/>
  <c r="P30" i="16"/>
  <c r="F14" i="16"/>
  <c r="F20" i="16" s="1"/>
  <c r="P28" i="16"/>
  <c r="L15" i="18" l="1"/>
  <c r="M15" i="18" s="1"/>
  <c r="F16" i="20"/>
  <c r="H16" i="20" s="1"/>
  <c r="A50" i="7"/>
  <c r="E16" i="20"/>
  <c r="G16" i="20" s="1"/>
  <c r="A49" i="7"/>
  <c r="E14" i="20"/>
  <c r="G14" i="20" s="1"/>
  <c r="N76" i="16"/>
  <c r="P43" i="20"/>
  <c r="B45" i="20"/>
  <c r="L18" i="18"/>
  <c r="M18" i="18" s="1"/>
  <c r="H19" i="18"/>
  <c r="J65" i="7" s="1"/>
  <c r="I16" i="18"/>
  <c r="X35" i="20"/>
  <c r="F35" i="16"/>
  <c r="F51" i="7"/>
  <c r="Y32" i="16"/>
  <c r="K48" i="7" s="1"/>
  <c r="G81" i="16"/>
  <c r="G79" i="16" s="1"/>
  <c r="Y11" i="16"/>
  <c r="N16" i="16"/>
  <c r="N21" i="16"/>
  <c r="N22" i="16"/>
  <c r="F81" i="16"/>
  <c r="F79" i="16" s="1"/>
  <c r="N19" i="16"/>
  <c r="N24" i="16"/>
  <c r="E81" i="16"/>
  <c r="E80" i="16" s="1"/>
  <c r="N20" i="16"/>
  <c r="I81" i="16"/>
  <c r="I79" i="16" s="1"/>
  <c r="N25" i="16"/>
  <c r="N18" i="16"/>
  <c r="N23" i="16"/>
  <c r="H81" i="16"/>
  <c r="H79" i="16" s="1"/>
  <c r="N17" i="16"/>
  <c r="X11" i="16"/>
  <c r="J14" i="7" s="1"/>
  <c r="M38" i="16"/>
  <c r="F15" i="16"/>
  <c r="F16" i="16" s="1"/>
  <c r="F17" i="16" s="1"/>
  <c r="K14" i="7" l="1"/>
  <c r="K9" i="7" s="1"/>
  <c r="AM11" i="16"/>
  <c r="L16" i="18"/>
  <c r="I19" i="18"/>
  <c r="K65" i="7" s="1"/>
  <c r="K68" i="7" s="1"/>
  <c r="K70" i="7" s="1"/>
  <c r="Q43" i="20"/>
  <c r="B46" i="20"/>
  <c r="Y35" i="20"/>
  <c r="AM32" i="16"/>
  <c r="E79" i="16"/>
  <c r="H80" i="16"/>
  <c r="G80" i="16"/>
  <c r="I80" i="16"/>
  <c r="F80" i="16"/>
  <c r="W29" i="16"/>
  <c r="W26" i="16"/>
  <c r="W27" i="16"/>
  <c r="W28" i="16"/>
  <c r="F22" i="16"/>
  <c r="F21" i="16"/>
  <c r="R43" i="20" l="1"/>
  <c r="B47" i="20"/>
  <c r="M16" i="18"/>
  <c r="M19" i="18" s="1"/>
  <c r="L19" i="18"/>
  <c r="F44" i="7"/>
  <c r="Z35" i="20"/>
  <c r="S43" i="20" l="1"/>
  <c r="B48" i="20"/>
  <c r="AA35" i="20"/>
  <c r="D26" i="20"/>
  <c r="T43" i="20" l="1"/>
  <c r="B49" i="20"/>
  <c r="AB35" i="20"/>
  <c r="H14" i="16"/>
  <c r="H16" i="16" s="1"/>
  <c r="K21" i="16"/>
  <c r="L21" i="16" s="1"/>
  <c r="L15" i="16"/>
  <c r="K24" i="16"/>
  <c r="L24" i="16" s="1"/>
  <c r="K22" i="16"/>
  <c r="L22" i="16" s="1"/>
  <c r="K23" i="16"/>
  <c r="L23" i="16" s="1"/>
  <c r="K25" i="16"/>
  <c r="L25" i="16" s="1"/>
  <c r="K17" i="16"/>
  <c r="L17" i="16" s="1"/>
  <c r="K19" i="16"/>
  <c r="L19" i="16" s="1"/>
  <c r="K18" i="16"/>
  <c r="L18" i="16" s="1"/>
  <c r="K16" i="16"/>
  <c r="L16" i="16" s="1"/>
  <c r="K20" i="16"/>
  <c r="L20" i="16" s="1"/>
  <c r="K31" i="16"/>
  <c r="K12" i="16"/>
  <c r="K13" i="16"/>
  <c r="AA15" i="16" l="1"/>
  <c r="AJ15" i="16"/>
  <c r="AD15" i="16"/>
  <c r="AG15" i="16"/>
  <c r="AA22" i="16"/>
  <c r="AG22" i="16"/>
  <c r="AJ22" i="16"/>
  <c r="AD22" i="16"/>
  <c r="AA25" i="16"/>
  <c r="AG25" i="16"/>
  <c r="AJ25" i="16"/>
  <c r="AD25" i="16"/>
  <c r="AA20" i="16"/>
  <c r="AD20" i="16"/>
  <c r="AJ20" i="16"/>
  <c r="AG20" i="16"/>
  <c r="AA17" i="16"/>
  <c r="AJ17" i="16"/>
  <c r="AD17" i="16"/>
  <c r="AG17" i="16"/>
  <c r="AA24" i="16"/>
  <c r="AG24" i="16"/>
  <c r="AJ24" i="16"/>
  <c r="AD24" i="16"/>
  <c r="AA16" i="16"/>
  <c r="AG16" i="16"/>
  <c r="AJ16" i="16"/>
  <c r="AD16" i="16"/>
  <c r="AA19" i="16"/>
  <c r="AJ19" i="16"/>
  <c r="AD19" i="16"/>
  <c r="AG19" i="16"/>
  <c r="AA23" i="16"/>
  <c r="AG23" i="16"/>
  <c r="AD23" i="16"/>
  <c r="AJ23" i="16"/>
  <c r="AA21" i="16"/>
  <c r="AD21" i="16"/>
  <c r="AG21" i="16"/>
  <c r="AJ21" i="16"/>
  <c r="AA18" i="16"/>
  <c r="AJ18" i="16"/>
  <c r="AD18" i="16"/>
  <c r="AG18" i="16"/>
  <c r="C23" i="7"/>
  <c r="C21" i="7"/>
  <c r="C17" i="7"/>
  <c r="C22" i="7"/>
  <c r="C28" i="7"/>
  <c r="C26" i="7"/>
  <c r="U43" i="20"/>
  <c r="B50" i="20"/>
  <c r="L13" i="16"/>
  <c r="P45" i="16"/>
  <c r="C25" i="7"/>
  <c r="C27" i="7"/>
  <c r="C19" i="7"/>
  <c r="C24" i="7"/>
  <c r="C20" i="7"/>
  <c r="AC35" i="20"/>
  <c r="K14" i="16"/>
  <c r="L14" i="16" s="1"/>
  <c r="M31" i="16"/>
  <c r="C44" i="7" s="1"/>
  <c r="L12" i="16"/>
  <c r="AG12" i="16" l="1"/>
  <c r="AD12" i="16"/>
  <c r="AJ12" i="16"/>
  <c r="AA12" i="16"/>
  <c r="AA14" i="16" s="1"/>
  <c r="AD13" i="16"/>
  <c r="AG13" i="16"/>
  <c r="AJ13" i="16"/>
  <c r="AG14" i="16"/>
  <c r="AD14" i="16"/>
  <c r="AJ14" i="16"/>
  <c r="C16" i="7"/>
  <c r="AA13" i="16"/>
  <c r="X13" i="16" s="1"/>
  <c r="J16" i="7" s="1"/>
  <c r="C15" i="7"/>
  <c r="C18" i="7"/>
  <c r="V43" i="20"/>
  <c r="B51" i="20"/>
  <c r="AD35" i="20"/>
  <c r="X22" i="16"/>
  <c r="J25" i="7" s="1"/>
  <c r="X17" i="16"/>
  <c r="J20" i="7" s="1"/>
  <c r="X24" i="16"/>
  <c r="J27" i="7" s="1"/>
  <c r="X15" i="16"/>
  <c r="J17" i="7" s="1"/>
  <c r="X16" i="16"/>
  <c r="J19" i="7" s="1"/>
  <c r="X21" i="16"/>
  <c r="J24" i="7" s="1"/>
  <c r="X18" i="16"/>
  <c r="J21" i="7" s="1"/>
  <c r="X23" i="16"/>
  <c r="J26" i="7" s="1"/>
  <c r="X25" i="16"/>
  <c r="J28" i="7" s="1"/>
  <c r="X19" i="16"/>
  <c r="J22" i="7" s="1"/>
  <c r="X20" i="16"/>
  <c r="J23" i="7" s="1"/>
  <c r="W43" i="20" l="1"/>
  <c r="B52" i="20"/>
  <c r="AE35" i="20"/>
  <c r="AF35" i="20" s="1"/>
  <c r="X12" i="16"/>
  <c r="J15" i="7" s="1"/>
  <c r="X43" i="20" l="1"/>
  <c r="B53" i="20"/>
  <c r="X14" i="16"/>
  <c r="J18" i="7" s="1"/>
  <c r="Y43" i="20" l="1"/>
  <c r="B54" i="20"/>
  <c r="H28" i="7"/>
  <c r="H25" i="7"/>
  <c r="H26" i="7"/>
  <c r="H27" i="7"/>
  <c r="H17" i="7"/>
  <c r="H35" i="7"/>
  <c r="H41" i="7"/>
  <c r="H38" i="7"/>
  <c r="Z43" i="20" l="1"/>
  <c r="B55" i="20"/>
  <c r="AA43" i="20" l="1"/>
  <c r="B56" i="20"/>
  <c r="K27" i="7"/>
  <c r="K25" i="7"/>
  <c r="K26" i="7"/>
  <c r="K28" i="7"/>
  <c r="AB43" i="20" l="1"/>
  <c r="B57" i="20"/>
  <c r="K38" i="7"/>
  <c r="K35" i="7"/>
  <c r="AC43" i="20" l="1"/>
  <c r="B58" i="20"/>
  <c r="AD43" i="20" l="1"/>
  <c r="B59" i="20"/>
  <c r="AE43" i="20" l="1"/>
  <c r="B60" i="20"/>
  <c r="AF43" i="20" l="1"/>
  <c r="B61" i="20"/>
  <c r="AG43" i="20" l="1"/>
  <c r="B62" i="20"/>
  <c r="AH43" i="20" l="1"/>
  <c r="B64" i="20" s="1"/>
  <c r="B63" i="20"/>
  <c r="E50" i="20" l="1"/>
  <c r="G7" i="16" s="1"/>
  <c r="V26" i="16" s="1"/>
  <c r="J31" i="16"/>
  <c r="O16" i="16"/>
  <c r="T26" i="16"/>
  <c r="U28" i="16"/>
  <c r="O24" i="16"/>
  <c r="S29" i="16"/>
  <c r="O21" i="16"/>
  <c r="R30" i="16"/>
  <c r="O18" i="16"/>
  <c r="O23" i="16"/>
  <c r="R27" i="16"/>
  <c r="R26" i="16"/>
  <c r="T27" i="16"/>
  <c r="S30" i="16"/>
  <c r="U30" i="16"/>
  <c r="G83" i="16"/>
  <c r="G82" i="16" s="1"/>
  <c r="R29" i="16"/>
  <c r="Q27" i="16"/>
  <c r="O17" i="16"/>
  <c r="S27" i="16"/>
  <c r="E83" i="16"/>
  <c r="E82" i="16" s="1"/>
  <c r="H29" i="7" s="1"/>
  <c r="O22" i="16"/>
  <c r="F9" i="16"/>
  <c r="V29" i="16"/>
  <c r="T29" i="16"/>
  <c r="F83" i="16"/>
  <c r="T30" i="16"/>
  <c r="S28" i="16"/>
  <c r="R28" i="16"/>
  <c r="H83" i="16"/>
  <c r="H82" i="16" s="1"/>
  <c r="Q29" i="16"/>
  <c r="V28" i="16"/>
  <c r="Q28" i="16"/>
  <c r="O25" i="16"/>
  <c r="Q30" i="16"/>
  <c r="I29" i="7" l="1"/>
  <c r="AG26" i="16"/>
  <c r="AJ26" i="16"/>
  <c r="AD26" i="16"/>
  <c r="AA26" i="16"/>
  <c r="Q26" i="16"/>
  <c r="U26" i="16"/>
  <c r="U29" i="16"/>
  <c r="V27" i="16"/>
  <c r="T28" i="16"/>
  <c r="O19" i="16"/>
  <c r="U27" i="16"/>
  <c r="S26" i="16"/>
  <c r="I83" i="16"/>
  <c r="I82" i="16" s="1"/>
  <c r="O20" i="16"/>
  <c r="V30" i="16"/>
  <c r="AH30" i="16" s="1"/>
  <c r="K29" i="16"/>
  <c r="L29" i="16" s="1"/>
  <c r="C38" i="7" s="1"/>
  <c r="F82" i="16"/>
  <c r="H32" i="7" s="1"/>
  <c r="H15" i="7"/>
  <c r="H22" i="7"/>
  <c r="H23" i="7"/>
  <c r="H21" i="7"/>
  <c r="K30" i="16"/>
  <c r="L30" i="16" s="1"/>
  <c r="C41" i="7" s="1"/>
  <c r="K28" i="16"/>
  <c r="L28" i="16" s="1"/>
  <c r="C35" i="7" s="1"/>
  <c r="K27" i="16"/>
  <c r="L27" i="16" s="1"/>
  <c r="C32" i="7" s="1"/>
  <c r="AH26" i="16"/>
  <c r="AK28" i="16"/>
  <c r="AH28" i="16"/>
  <c r="AK29" i="16"/>
  <c r="AH29" i="16"/>
  <c r="AF31" i="16"/>
  <c r="AH31" i="16" s="1"/>
  <c r="AI31" i="16"/>
  <c r="AK31" i="16" s="1"/>
  <c r="AB29" i="16"/>
  <c r="AB28" i="16"/>
  <c r="H19" i="7"/>
  <c r="H20" i="7"/>
  <c r="H24" i="7"/>
  <c r="AC31" i="16"/>
  <c r="Z31" i="16"/>
  <c r="AB31" i="16" s="1"/>
  <c r="I35" i="7"/>
  <c r="I38" i="7"/>
  <c r="AE14" i="16"/>
  <c r="AH14" i="16"/>
  <c r="H16" i="7"/>
  <c r="P37" i="16"/>
  <c r="AB22" i="16"/>
  <c r="AB25" i="16"/>
  <c r="AE18" i="16"/>
  <c r="AE15" i="16"/>
  <c r="AK19" i="16"/>
  <c r="AH22" i="16"/>
  <c r="AE20" i="16"/>
  <c r="AB17" i="16"/>
  <c r="AH15" i="16"/>
  <c r="AE17" i="16"/>
  <c r="AE24" i="16"/>
  <c r="AH13" i="16"/>
  <c r="AK24" i="16"/>
  <c r="H18" i="7"/>
  <c r="AH20" i="16"/>
  <c r="AH19" i="16"/>
  <c r="AE23" i="16"/>
  <c r="AK20" i="16"/>
  <c r="AB16" i="16"/>
  <c r="M37" i="16"/>
  <c r="AB23" i="16"/>
  <c r="AK18" i="16"/>
  <c r="AB14" i="16"/>
  <c r="P38" i="16"/>
  <c r="AH16" i="16"/>
  <c r="AH24" i="16"/>
  <c r="AH23" i="16"/>
  <c r="AK17" i="16"/>
  <c r="AH17" i="16"/>
  <c r="AE13" i="16"/>
  <c r="AK14" i="16"/>
  <c r="AH12" i="16"/>
  <c r="P39" i="16"/>
  <c r="AB13" i="16"/>
  <c r="AK25" i="16"/>
  <c r="AE25" i="16"/>
  <c r="AK21" i="16"/>
  <c r="AK22" i="16"/>
  <c r="AB19" i="16"/>
  <c r="AK15" i="16"/>
  <c r="AB20" i="16"/>
  <c r="P40" i="16"/>
  <c r="AB24" i="16"/>
  <c r="AH18" i="16"/>
  <c r="AB18" i="16"/>
  <c r="AK13" i="16"/>
  <c r="AB15" i="16"/>
  <c r="AE21" i="16"/>
  <c r="AE19" i="16"/>
  <c r="AK23" i="16"/>
  <c r="AE12" i="16"/>
  <c r="AH21" i="16"/>
  <c r="AB12" i="16"/>
  <c r="AK16" i="16"/>
  <c r="AB21" i="16"/>
  <c r="AK12" i="16"/>
  <c r="AE22" i="16"/>
  <c r="AE16" i="16"/>
  <c r="AH25" i="16"/>
  <c r="I41" i="7"/>
  <c r="I32" i="7"/>
  <c r="K26" i="16" l="1"/>
  <c r="L26" i="16" s="1"/>
  <c r="C29" i="7" s="1"/>
  <c r="Y17" i="16"/>
  <c r="AM17" i="16" s="1"/>
  <c r="Y22" i="16"/>
  <c r="AM22" i="16" s="1"/>
  <c r="AK30" i="16"/>
  <c r="AB30" i="16"/>
  <c r="Y25" i="16"/>
  <c r="AM25" i="16" s="1"/>
  <c r="Y20" i="16"/>
  <c r="AM20" i="16" s="1"/>
  <c r="Y15" i="16"/>
  <c r="AM15" i="16" s="1"/>
  <c r="Y23" i="16"/>
  <c r="AM23" i="16" s="1"/>
  <c r="Y16" i="16"/>
  <c r="AM16" i="16" s="1"/>
  <c r="Y13" i="16"/>
  <c r="AM13" i="16" s="1"/>
  <c r="Y24" i="16"/>
  <c r="AM24" i="16" s="1"/>
  <c r="Y18" i="16"/>
  <c r="AM18" i="16" s="1"/>
  <c r="Y19" i="16"/>
  <c r="AM19" i="16" s="1"/>
  <c r="Y21" i="16"/>
  <c r="AM21" i="16" s="1"/>
  <c r="Y14" i="16"/>
  <c r="AM14" i="16" s="1"/>
  <c r="AE27" i="16"/>
  <c r="AB26" i="16"/>
  <c r="AE26" i="16"/>
  <c r="AK26" i="16"/>
  <c r="AH27" i="16"/>
  <c r="AH33" i="16" s="1"/>
  <c r="AH34" i="16" s="1"/>
  <c r="AB27" i="16"/>
  <c r="AK27" i="16"/>
  <c r="K21" i="7"/>
  <c r="K22" i="7"/>
  <c r="M39" i="16"/>
  <c r="M40" i="16" s="1"/>
  <c r="K24" i="7"/>
  <c r="K20" i="7"/>
  <c r="K19" i="7"/>
  <c r="Y12" i="16"/>
  <c r="K18" i="7"/>
  <c r="AE28" i="16"/>
  <c r="Y28" i="16" s="1"/>
  <c r="AM28" i="16" s="1"/>
  <c r="X28" i="16"/>
  <c r="J35" i="7" s="1"/>
  <c r="K23" i="7"/>
  <c r="AE29" i="16"/>
  <c r="Y29" i="16" s="1"/>
  <c r="AM29" i="16" s="1"/>
  <c r="X29" i="16"/>
  <c r="J38" i="7" s="1"/>
  <c r="K17" i="7"/>
  <c r="AE31" i="16"/>
  <c r="Y31" i="16" s="1"/>
  <c r="W31" i="16"/>
  <c r="J44" i="7" s="1"/>
  <c r="AE30" i="16"/>
  <c r="Y30" i="16" s="1"/>
  <c r="X30" i="16"/>
  <c r="J41" i="7" s="1"/>
  <c r="K16" i="7" l="1"/>
  <c r="Y26" i="16"/>
  <c r="AM26" i="16" s="1"/>
  <c r="Y27" i="16"/>
  <c r="AM27" i="16" s="1"/>
  <c r="X27" i="16"/>
  <c r="J32" i="7" s="1"/>
  <c r="AB33" i="16"/>
  <c r="AB34" i="16" s="1"/>
  <c r="X26" i="16"/>
  <c r="J29" i="7" s="1"/>
  <c r="AK33" i="16"/>
  <c r="AK34" i="16" s="1"/>
  <c r="K32" i="7"/>
  <c r="AM31" i="16"/>
  <c r="K44" i="7"/>
  <c r="F53" i="7" s="1"/>
  <c r="AM12" i="16"/>
  <c r="K15" i="7"/>
  <c r="K29" i="7"/>
  <c r="K41" i="7"/>
  <c r="AM30" i="16"/>
  <c r="AE33" i="16"/>
  <c r="K47" i="7" l="1"/>
  <c r="K49" i="7" s="1"/>
  <c r="AE34" i="16"/>
  <c r="W34" i="16" s="1"/>
  <c r="W3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Bernátová Alena</author>
  </authors>
  <commentList>
    <comment ref="F44" authorId="0" shapeId="0" xr:uid="{4494BFA2-D252-46B3-AED5-DB57171B027A}">
      <text>
        <r>
          <rPr>
            <sz val="9"/>
            <color indexed="81"/>
            <rFont val="Tahoma"/>
            <family val="2"/>
            <charset val="238"/>
          </rPr>
          <t>nadlimitní
překročení
rezervované
kapacity (m³)</t>
        </r>
      </text>
    </comment>
    <comment ref="D45" authorId="0" shapeId="0" xr:uid="{74855510-F758-41ED-88AA-13E7314CB429}">
      <text>
        <r>
          <rPr>
            <sz val="9"/>
            <color indexed="81"/>
            <rFont val="Tahoma"/>
            <family val="2"/>
            <charset val="238"/>
          </rPr>
          <t>datum překročení</t>
        </r>
      </text>
    </comment>
    <comment ref="F66" authorId="0" shapeId="0" xr:uid="{98039E61-4137-4D18-BB11-135F41ACE66E}">
      <text>
        <r>
          <rPr>
            <sz val="9"/>
            <color indexed="81"/>
            <rFont val="Tahoma"/>
            <family val="2"/>
            <charset val="238"/>
          </rPr>
          <t>nadlimitní
překročení
rezervované
kapacity (m³)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Bernátová Alena</author>
  </authors>
  <commentList>
    <comment ref="F3" authorId="0" shapeId="0" xr:uid="{57ECCA95-3613-4BD8-8A7C-7C2C4D0D9F3E}">
      <text>
        <r>
          <rPr>
            <sz val="8"/>
            <color indexed="81"/>
            <rFont val="Tahoma"/>
            <family val="2"/>
            <charset val="238"/>
          </rPr>
          <t xml:space="preserve">MO za cenu VOSO je logaritmický MO, dříve též nazývaný MO z dálkovodu, než zrušili pravidlo, že logar sazbu musí mít každé OM napojené na dálkovod a navázali logar sazbu na periodicitu fakturace měsíční.
Těch sazeb bylo v průběhu časů hodně, aktuální používaná je GW3ML___MD. </t>
        </r>
        <r>
          <rPr>
            <b/>
            <sz val="8"/>
            <color indexed="81"/>
            <rFont val="Tahoma"/>
            <family val="2"/>
            <charset val="238"/>
          </rPr>
          <t xml:space="preserve">Kapacita se u nich počítá jako u VOSO s měřením C, ceny jsou jako VOSO, ale evidovaní jsou pod MO a pokud mají profilové měření, nějak se to transformuje (nevím jak) a v IS-U se to chová jako normální odečty typu C. </t>
        </r>
        <r>
          <rPr>
            <sz val="8"/>
            <color indexed="81"/>
            <rFont val="Tahoma"/>
            <family val="2"/>
            <charset val="238"/>
          </rPr>
          <t xml:space="preserve">
</t>
        </r>
        <r>
          <rPr>
            <i/>
            <sz val="8"/>
            <color indexed="81"/>
            <rFont val="Tahoma"/>
            <family val="2"/>
            <charset val="238"/>
          </rPr>
          <t>Rozdíl mezi běžným měsíčním MO a těmito logar MO je v tom, že OM mají měsíční odečtovou jednotku, takže jsou každý měsíc fakturováni periodickou fakturou, není to MIFA.</t>
        </r>
        <r>
          <rPr>
            <sz val="9"/>
            <color indexed="81"/>
            <rFont val="Tahoma"/>
            <family val="2"/>
            <charset val="238"/>
          </rPr>
          <t xml:space="preserve">
</t>
        </r>
      </text>
    </comment>
    <comment ref="N3" authorId="0" shapeId="0" xr:uid="{2BEECE72-8765-4FBB-BD95-D48492C59DBD}">
      <text>
        <r>
          <rPr>
            <sz val="8"/>
            <color indexed="81"/>
            <rFont val="Tahoma"/>
            <family val="2"/>
            <charset val="238"/>
          </rPr>
          <t xml:space="preserve">VOSO za cenu MO počítáme kapacitu podobně jako u MO v nejvyšším pásmu, tj. z roční spotřeby/115. Místo ZMOROKU používáme součet spotřeb m3 (GHQSPNM3A) za předchozí kalendářní rok. </t>
        </r>
      </text>
    </comment>
    <comment ref="I22" authorId="0" shapeId="0" xr:uid="{59FEFF51-D970-4088-BEFE-FDE39551126B}">
      <text>
        <r>
          <rPr>
            <sz val="9"/>
            <color indexed="81"/>
            <rFont val="Tahoma"/>
            <family val="2"/>
            <charset val="238"/>
          </rPr>
          <t>maximum za předch.rok</t>
        </r>
      </text>
    </comment>
    <comment ref="J22" authorId="0" shapeId="0" xr:uid="{C309E6BB-2281-4F32-826A-E6FA130E1EEE}">
      <text>
        <r>
          <rPr>
            <sz val="8"/>
            <color indexed="81"/>
            <rFont val="Tahoma"/>
            <family val="2"/>
            <charset val="238"/>
          </rPr>
          <t>vypočíst z hodnot operandu GHQSPNM3 (Spotřeba OM v nm3 (měření C)). Pokud není historie bere se hodnota operandu G0QSCMANM3 a nic se nevypočítává.</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Bernátová Alena</author>
  </authors>
  <commentList>
    <comment ref="I14" authorId="0" shapeId="0" xr:uid="{BD7CCEA5-89E6-4930-B11D-EFCDFD27FE04}">
      <text>
        <r>
          <rPr>
            <b/>
            <sz val="9"/>
            <color indexed="81"/>
            <rFont val="Tahoma"/>
            <family val="2"/>
            <charset val="238"/>
          </rPr>
          <t>Bernátová Alena:</t>
        </r>
        <r>
          <rPr>
            <sz val="9"/>
            <color indexed="81"/>
            <rFont val="Tahoma"/>
            <family val="2"/>
            <charset val="238"/>
          </rPr>
          <t xml:space="preserve">
vyhodnotí se i pro prázdnou hodnotu, tj. při změně výběru z nadlimitu "ne" na "ano", protože je nutné vybrat správnou možnosti, v poli nahoře bude prázdná hodnota a nabízené hodnoty se plní až od pole č.2 dle výběru sítě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Bernátová Alena</author>
    <author>Autor</author>
  </authors>
  <commentList>
    <comment ref="J4" authorId="0" shapeId="0" xr:uid="{A24FD31B-19DC-4305-8116-2E157667DE45}">
      <text>
        <r>
          <rPr>
            <b/>
            <sz val="9"/>
            <color indexed="81"/>
            <rFont val="Tahoma"/>
            <family val="2"/>
            <charset val="238"/>
          </rPr>
          <t xml:space="preserve">Vyhodnocení nadlimitu:
- pro fakturaci </t>
        </r>
        <r>
          <rPr>
            <sz val="9"/>
            <color indexed="81"/>
            <rFont val="Tahoma"/>
            <family val="2"/>
            <charset val="238"/>
          </rPr>
          <t>se pro vyhodnocení nadlimitu u komodity bere součet předchozích fakturovaných spotřeb v daném roce tj. mimo poslední spotřeby, která je fakturována.</t>
        </r>
        <r>
          <rPr>
            <b/>
            <sz val="9"/>
            <color indexed="81"/>
            <rFont val="Tahoma"/>
            <family val="2"/>
            <charset val="238"/>
          </rPr>
          <t xml:space="preserve"> 
- pro plány záloh </t>
        </r>
        <r>
          <rPr>
            <sz val="9"/>
            <color indexed="81"/>
            <rFont val="Tahoma"/>
            <family val="2"/>
            <charset val="238"/>
          </rPr>
          <t xml:space="preserve">se pro vyhodnocení nadlimitu u komodity bere součet všech fakturovaných spotřeb v daném roce VČETNĚ dané faktury, které je PZ součástí. 
- </t>
        </r>
        <r>
          <rPr>
            <b/>
            <sz val="9"/>
            <color indexed="81"/>
            <rFont val="Tahoma"/>
            <family val="2"/>
            <charset val="238"/>
          </rPr>
          <t>pro agregované zálohy</t>
        </r>
        <r>
          <rPr>
            <sz val="9"/>
            <color indexed="81"/>
            <rFont val="Tahoma"/>
            <family val="2"/>
            <charset val="238"/>
          </rPr>
          <t xml:space="preserve"> se vyhodnocení nadlimitu u komodity postupuje stejně jako u plánu záloh. 
</t>
        </r>
        <r>
          <rPr>
            <b/>
            <sz val="9"/>
            <color indexed="81"/>
            <rFont val="Tahoma"/>
            <family val="2"/>
            <charset val="238"/>
          </rPr>
          <t>Specifika v ZD:</t>
        </r>
        <r>
          <rPr>
            <sz val="9"/>
            <color indexed="81"/>
            <rFont val="Tahoma"/>
            <family val="2"/>
            <charset val="238"/>
          </rPr>
          <t xml:space="preserve">
- celková hodnota nadlimitu komodity uvedena v ZD na řádku ZLIMSP  nadlimitní spotřebaU AZ i když je v ZD 
- detail vyhodnocení nadlimitu kapacitu je uveden v ZD: Přehled dokladu, řádek ZLOG00 a klik na číslo řádku, Záložka Doplňková data
</t>
        </r>
        <r>
          <rPr>
            <b/>
            <sz val="9"/>
            <color indexed="81"/>
            <rFont val="Tahoma"/>
            <family val="2"/>
            <charset val="238"/>
          </rPr>
          <t xml:space="preserve">
</t>
        </r>
      </text>
    </comment>
    <comment ref="K5" authorId="0" shapeId="0" xr:uid="{DD4CF286-8B39-486B-B29A-4481C7E96B70}">
      <text>
        <r>
          <rPr>
            <sz val="9"/>
            <color indexed="81"/>
            <rFont val="Tahoma"/>
            <family val="2"/>
            <charset val="238"/>
          </rPr>
          <t>Vybrat správnou variantu, pokud není nadlimitní spotřeba, vybrat prázdný řádek</t>
        </r>
      </text>
    </comment>
    <comment ref="AF8" authorId="0" shapeId="0" xr:uid="{739A9199-BB51-4AF2-AA2A-8CF771E48639}">
      <text>
        <r>
          <rPr>
            <b/>
            <sz val="9"/>
            <color indexed="81"/>
            <rFont val="Tahoma"/>
            <family val="2"/>
            <charset val="238"/>
          </rPr>
          <t>Bernátová Alena:</t>
        </r>
        <r>
          <rPr>
            <sz val="9"/>
            <color indexed="81"/>
            <rFont val="Tahoma"/>
            <family val="2"/>
            <charset val="238"/>
          </rPr>
          <t xml:space="preserve">
druh OM 1106, 1206</t>
        </r>
      </text>
    </comment>
    <comment ref="E10" authorId="0" shapeId="0" xr:uid="{35FE2E1A-717F-41A5-9A5F-9DDB4FD8040E}">
      <text>
        <r>
          <rPr>
            <sz val="9"/>
            <color indexed="81"/>
            <rFont val="Tahoma"/>
            <family val="2"/>
            <charset val="238"/>
          </rPr>
          <t xml:space="preserve">neúčtuje se mu popl.OTE
</t>
        </r>
      </text>
    </comment>
    <comment ref="G10" authorId="0" shapeId="0" xr:uid="{B2F4C295-D0B0-40E5-8E56-EFF2EC6C60F4}">
      <text>
        <r>
          <rPr>
            <sz val="9"/>
            <color indexed="81"/>
            <rFont val="Tahoma"/>
            <family val="2"/>
            <charset val="238"/>
          </rPr>
          <t xml:space="preserve">cena pouze za komoditu, pevná cena nezávislá na kapacitě a na spotřebě tj. neplatí za kapacitu  nemůže mít MK ani KK.
Pokud dojde k překročení denní rezervované kapacity, je zákazníkovi účtována platba za překročení podle bodu (13.6), přičemž podmínky stanovené v tomto bodě se použijí obdobně. Pro stanovení roční ceny za denní rezervovanou distribuční kapacitu CK pro účely výpočtu platby za překročení se postupuje podle bodu (13.1.2.1) písmene a) nebo (13.1.2.2) písmene a) tj. </t>
        </r>
        <r>
          <rPr>
            <b/>
            <sz val="9"/>
            <color indexed="81"/>
            <rFont val="Tahoma"/>
            <family val="2"/>
            <charset val="238"/>
          </rPr>
          <t>NEMÁ NADLIMITNÍ CENU ZA KAPACITU</t>
        </r>
      </text>
    </comment>
    <comment ref="K10" authorId="0" shapeId="0" xr:uid="{8A9104FA-B37F-4DFE-A566-BC3DDC552DB3}">
      <text>
        <r>
          <rPr>
            <sz val="9"/>
            <color indexed="81"/>
            <rFont val="Tahoma"/>
            <family val="2"/>
            <charset val="238"/>
          </rPr>
          <t>kapacita nesmí být však nižší než min.kap. 519 (viz. CR 3.9)</t>
        </r>
      </text>
    </comment>
    <comment ref="O10" authorId="0" shapeId="0" xr:uid="{5907906D-CDCC-44C5-8F76-29BDEA11CB1D}">
      <text>
        <r>
          <rPr>
            <b/>
            <sz val="9"/>
            <color indexed="81"/>
            <rFont val="Tahoma"/>
            <family val="2"/>
            <charset val="238"/>
          </rPr>
          <t xml:space="preserve">u klouzavek podmínka:
</t>
        </r>
        <r>
          <rPr>
            <sz val="9"/>
            <color indexed="81"/>
            <rFont val="Tahoma"/>
            <family val="2"/>
            <charset val="238"/>
          </rPr>
          <t xml:space="preserve">platnost min. na 1 měsíc nebo do konce násl.měsíce
</t>
        </r>
      </text>
    </comment>
    <comment ref="Q10" authorId="0" shapeId="0" xr:uid="{49BAB075-B4CD-4730-A270-C4331EE99A69}">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R10" authorId="0" shapeId="0" xr:uid="{5476BDE6-2F4A-44B8-B88B-C288A482E99A}">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S10" authorId="0" shapeId="0" xr:uid="{33901082-10F4-457F-B97A-CBAC9D8FAB55}">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T10" authorId="0" shapeId="0" xr:uid="{9BDD5E4E-AF3C-4D89-8F64-BDC9D7B055FA}">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U10" authorId="0" shapeId="0" xr:uid="{8A22CF90-9BC8-4379-9E93-F2E9A9CD7993}">
      <text>
        <r>
          <rPr>
            <b/>
            <sz val="9"/>
            <color indexed="81"/>
            <rFont val="Tahoma"/>
            <family val="2"/>
            <charset val="238"/>
          </rPr>
          <t>Bernátová Alena:</t>
        </r>
        <r>
          <rPr>
            <sz val="9"/>
            <color indexed="81"/>
            <rFont val="Tahoma"/>
            <family val="2"/>
            <charset val="238"/>
          </rPr>
          <t xml:space="preserve">
Výše klouzavky, pokud je platná pro připočtení do sumy kapacit pro výpočet</t>
        </r>
      </text>
    </comment>
    <comment ref="W10" authorId="0" shapeId="0" xr:uid="{B53A595A-FF45-4BB0-A099-95C5FA94A91B}">
      <text>
        <r>
          <rPr>
            <b/>
            <sz val="9"/>
            <color indexed="81"/>
            <rFont val="Tahoma"/>
            <family val="2"/>
            <charset val="238"/>
          </rPr>
          <t>Bernátová Alena:</t>
        </r>
        <r>
          <rPr>
            <sz val="9"/>
            <color indexed="81"/>
            <rFont val="Tahoma"/>
            <family val="2"/>
            <charset val="238"/>
          </rPr>
          <t xml:space="preserve">
zaprac.minimální kapacita ve vzorci</t>
        </r>
      </text>
    </comment>
    <comment ref="X10" authorId="1" shapeId="0" xr:uid="{F860A0B2-61CE-485C-9144-FB7B806002A5}">
      <text>
        <r>
          <rPr>
            <b/>
            <sz val="8"/>
            <color indexed="81"/>
            <rFont val="Tahoma"/>
            <family val="2"/>
            <charset val="238"/>
          </rPr>
          <t>Bernátová:</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MUSÍ BÝT ALE PLATNÉ KE DNI DANÉ KLOUZAVKY
. Pokud některé začínají ve stejný den, zadat obě a pak zapsat cenu.</t>
        </r>
      </text>
    </comment>
    <comment ref="Z10" authorId="0" shapeId="0" xr:uid="{8597D211-99AE-4A35-8F5D-B5AC6FFC206B}">
      <text>
        <r>
          <rPr>
            <b/>
            <sz val="9"/>
            <color indexed="81"/>
            <rFont val="Tahoma"/>
            <family val="2"/>
            <charset val="238"/>
          </rPr>
          <t>Bernátová Alena:</t>
        </r>
        <r>
          <rPr>
            <sz val="9"/>
            <color indexed="81"/>
            <rFont val="Tahoma"/>
            <family val="2"/>
            <charset val="238"/>
          </rPr>
          <t xml:space="preserve">
zaprac.minimální kapacita ve vzorci</t>
        </r>
      </text>
    </comment>
    <comment ref="AA10" authorId="1" shapeId="0" xr:uid="{9E42DD29-54E6-4EB5-8794-CF0E56B8CDAD}">
      <text>
        <r>
          <rPr>
            <b/>
            <sz val="8"/>
            <color indexed="81"/>
            <rFont val="Tahoma"/>
            <family val="2"/>
            <charset val="238"/>
          </rPr>
          <t>Bernátová:</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MUSÍ BÝT ALE PLATNÉ KE DNI DANÉ KLOUZAVKY
. Pokud některé začínají ve stejný den, zadat obě a pak zapsat cenu.</t>
        </r>
      </text>
    </comment>
    <comment ref="AC10" authorId="0" shapeId="0" xr:uid="{8FDB1356-06DD-46B6-B876-4FEA82D664A3}">
      <text>
        <r>
          <rPr>
            <b/>
            <sz val="9"/>
            <color indexed="81"/>
            <rFont val="Tahoma"/>
            <family val="2"/>
            <charset val="238"/>
          </rPr>
          <t>Bernátová Alena:</t>
        </r>
        <r>
          <rPr>
            <sz val="9"/>
            <color indexed="81"/>
            <rFont val="Tahoma"/>
            <family val="2"/>
            <charset val="238"/>
          </rPr>
          <t xml:space="preserve">
zaprac.minimální kapacita ve vzorci</t>
        </r>
      </text>
    </comment>
    <comment ref="AD10" authorId="1" shapeId="0" xr:uid="{E92FC334-B3F1-4A91-8194-65B5B785065E}">
      <text>
        <r>
          <rPr>
            <sz val="8"/>
            <color indexed="81"/>
            <rFont val="Tahoma"/>
            <family val="2"/>
            <charset val="238"/>
          </rPr>
          <t>postupně se nasčítávají, u překročení je to bez kapacity C. Začíná se odshora. Nejprve zadat dohromady AB+C+přeruš.roční. Pak dohromady měsíční klasik + měs.přerušit. Klouzavky postupně zadávat, podle toho, jak začínají. Pokud některé začínají ve stejný den, zadat obě a pak zapsat cenu.</t>
        </r>
      </text>
    </comment>
    <comment ref="AG10" authorId="1" shapeId="0" xr:uid="{395D888A-5824-4348-BB00-6ED1A73A9E7F}">
      <text>
        <r>
          <rPr>
            <b/>
            <sz val="8"/>
            <color indexed="81"/>
            <rFont val="Tahoma"/>
            <family val="2"/>
            <charset val="238"/>
          </rPr>
          <t>Autor:</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Pokud některé začínají ve stejný den, zadat obě a pak zapsat cenu.</t>
        </r>
      </text>
    </comment>
    <comment ref="AJ10" authorId="1" shapeId="0" xr:uid="{BF43CF1C-56BC-4507-85B8-DA62E6A2E928}">
      <text>
        <r>
          <rPr>
            <b/>
            <sz val="8"/>
            <color indexed="81"/>
            <rFont val="Tahoma"/>
            <family val="2"/>
            <charset val="238"/>
          </rPr>
          <t>Autor:</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Pokud některé začínají ve stejný den, zadat obě a pak zapsat cenu.</t>
        </r>
      </text>
    </comment>
    <comment ref="E11" authorId="0" shapeId="0" xr:uid="{9309B5E9-77F6-4E4E-B0D4-0488F54C31C4}">
      <text>
        <r>
          <rPr>
            <sz val="9"/>
            <color indexed="81"/>
            <rFont val="Tahoma"/>
            <family val="2"/>
            <charset val="238"/>
          </rPr>
          <t>dle dodatku k CR v r.2020  - COVID sleva - NOVOUZOVÝ STAV</t>
        </r>
      </text>
    </comment>
    <comment ref="I12" authorId="0" shapeId="0" xr:uid="{3DA6C3EB-E79F-4BB7-84BA-C86EE78DC2A4}">
      <text>
        <r>
          <rPr>
            <b/>
            <sz val="9"/>
            <color indexed="81"/>
            <rFont val="Tahoma"/>
            <family val="2"/>
            <charset val="238"/>
          </rPr>
          <t xml:space="preserve">CR bod 13.7.
</t>
        </r>
        <r>
          <rPr>
            <sz val="9"/>
            <color indexed="81"/>
            <rFont val="Tahoma"/>
            <family val="2"/>
            <charset val="238"/>
          </rPr>
          <t>neplatí za překročení</t>
        </r>
      </text>
    </comment>
    <comment ref="I13" authorId="0" shapeId="0" xr:uid="{AC93227E-888A-4C78-BBA6-5C7D55A9D2EA}">
      <text>
        <r>
          <rPr>
            <b/>
            <sz val="9"/>
            <color indexed="81"/>
            <rFont val="Tahoma"/>
            <family val="2"/>
            <charset val="238"/>
          </rPr>
          <t xml:space="preserve">Pokud došlu u sazby zkušební provoz k překročení </t>
        </r>
        <r>
          <rPr>
            <sz val="9"/>
            <color indexed="81"/>
            <rFont val="Tahoma"/>
            <family val="2"/>
            <charset val="238"/>
          </rPr>
          <t>sjednané kapacity, tak zadat dosažené maximum - neplatí cenu za překročení</t>
        </r>
      </text>
    </comment>
    <comment ref="F19" authorId="0" shapeId="0" xr:uid="{001F2E79-D402-48E2-AE0F-EB0209C3AED5}">
      <text>
        <r>
          <rPr>
            <sz val="9"/>
            <color indexed="81"/>
            <rFont val="Tahoma"/>
            <family val="2"/>
            <charset val="238"/>
          </rPr>
          <t>nevyplňovat pro M3R, protože tomu se nepočítá překročení</t>
        </r>
      </text>
    </comment>
    <comment ref="G26" authorId="0" shapeId="0" xr:uid="{A2034E03-D919-4668-9E68-4C581418075E}">
      <text>
        <r>
          <rPr>
            <sz val="9"/>
            <color indexed="81"/>
            <rFont val="Tahoma"/>
            <family val="2"/>
            <charset val="238"/>
          </rPr>
          <t>pro buňku I31</t>
        </r>
      </text>
    </comment>
    <comment ref="I31" authorId="0" shapeId="0" xr:uid="{5C5B6B89-8559-4C11-B13A-19020BD2B85E}">
      <text>
        <r>
          <rPr>
            <b/>
            <sz val="9"/>
            <color indexed="81"/>
            <rFont val="Tahoma"/>
            <family val="2"/>
            <charset val="238"/>
          </rPr>
          <t>Bernátová Alena:</t>
        </r>
        <r>
          <rPr>
            <sz val="9"/>
            <color indexed="81"/>
            <rFont val="Tahoma"/>
            <family val="2"/>
            <charset val="238"/>
          </rPr>
          <t xml:space="preserve">
nepočítá se roční C, ostatní kapacity pro výpočet ceny se zadají ty, které byly ke dni překročení aktivní, tj. pokud klouzavá ještě nebyla nebo už skončila, tak se nepočítá do výpočtu ceny. </t>
        </r>
        <r>
          <rPr>
            <b/>
            <i/>
            <sz val="9"/>
            <color indexed="81"/>
            <rFont val="Tahoma"/>
            <family val="2"/>
            <charset val="238"/>
          </rPr>
          <t>Minimální součet kapacit pro výpočet ceny je 519</t>
        </r>
      </text>
    </comment>
    <comment ref="W31" authorId="0" shapeId="0" xr:uid="{2FD17EB3-3EFA-46D6-A41C-4C9041A0FAAA}">
      <text>
        <r>
          <rPr>
            <b/>
            <sz val="9"/>
            <color indexed="81"/>
            <rFont val="Tahoma"/>
            <family val="2"/>
            <charset val="238"/>
          </rPr>
          <t xml:space="preserve">cena kapacit, která spadá do datumu překročen </t>
        </r>
      </text>
    </comment>
    <comment ref="I36" authorId="0" shapeId="0" xr:uid="{733530E8-10BC-4390-9E39-2269F98B3E9D}">
      <text>
        <r>
          <rPr>
            <sz val="9"/>
            <color indexed="81"/>
            <rFont val="Tahoma"/>
            <family val="2"/>
            <charset val="238"/>
          </rPr>
          <t xml:space="preserve">Pravidla fakturace pro výrobce:
neúčtuje se poplatek OTE
cena pouze za kapacitu - pevná cena nezávislá na kapacitě ani na spotřebě
neplatí cenu za komoditu
může mít MK, KK, počítá se mu překročení pokud nemá zadán operand G0FLDNPREK pro blokování
</t>
        </r>
      </text>
    </comment>
    <comment ref="L36" authorId="1" shapeId="0" xr:uid="{14FDBB26-B492-49D8-8B85-7CF7BE89B67B}">
      <text>
        <r>
          <rPr>
            <b/>
            <sz val="8"/>
            <color indexed="81"/>
            <rFont val="Tahoma"/>
            <family val="2"/>
            <charset val="238"/>
          </rPr>
          <t>Autor:</t>
        </r>
        <r>
          <rPr>
            <sz val="8"/>
            <color indexed="81"/>
            <rFont val="Tahoma"/>
            <family val="2"/>
            <charset val="238"/>
          </rPr>
          <t xml:space="preserve">
postupně se nasčítávají, u překročení je to bez kapacity C. Začíná se odshora. Nejprve zadat dohromady AB+C+přeruš.roční. Pak dohromady měsíční klasik + měs.přerušit. Klouzavky postupně zadávat, podle toho, jak začínají. Pokud některé začínají ve stejný den, zadat obě a pak zapsat cenu.</t>
        </r>
      </text>
    </comment>
    <comment ref="I38" authorId="0" shapeId="0" xr:uid="{AB6C9F5F-9BDC-434A-8DA4-3C1A72B69B0C}">
      <text>
        <r>
          <rPr>
            <b/>
            <sz val="9"/>
            <color indexed="81"/>
            <rFont val="Tahoma"/>
            <family val="2"/>
            <charset val="238"/>
          </rPr>
          <t>Bernátová Alena:</t>
        </r>
        <r>
          <rPr>
            <sz val="9"/>
            <color indexed="81"/>
            <rFont val="Tahoma"/>
            <family val="2"/>
            <charset val="238"/>
          </rPr>
          <t xml:space="preserve">
nepočítá se roční C, ostatní kapacity pro výpočet ceny se zadají ty, které byly ke dni překročení aktivní, tj. pokud klouzavá ještě nebyla nebo už skončila, tak se nepočítá do výpočtu ceny</t>
        </r>
      </text>
    </comment>
    <comment ref="U43" authorId="0" shapeId="0" xr:uid="{527B8B8B-7C6D-42A6-883C-AA007409DF65}">
      <text>
        <r>
          <rPr>
            <b/>
            <sz val="9"/>
            <color indexed="81"/>
            <rFont val="Tahoma"/>
            <family val="2"/>
            <charset val="238"/>
          </rPr>
          <t>Bernátová Alena:</t>
        </r>
        <r>
          <rPr>
            <sz val="9"/>
            <color indexed="81"/>
            <rFont val="Tahoma"/>
            <family val="2"/>
            <charset val="238"/>
          </rPr>
          <t xml:space="preserve">
pro všechny vzorce
</t>
        </r>
      </text>
    </comment>
    <comment ref="V43" authorId="0" shapeId="0" xr:uid="{DCD906D9-8C64-4AEE-8839-D33D42FBEE6C}">
      <text>
        <r>
          <rPr>
            <b/>
            <sz val="9"/>
            <color indexed="81"/>
            <rFont val="Tahoma"/>
            <family val="2"/>
            <charset val="238"/>
          </rPr>
          <t xml:space="preserve">CR bod 10.3
</t>
        </r>
        <r>
          <rPr>
            <sz val="9"/>
            <color indexed="81"/>
            <rFont val="Tahoma"/>
            <family val="2"/>
            <charset val="238"/>
          </rPr>
          <t>Cena za rezervovanou pevnou přepravní kapacitu</t>
        </r>
      </text>
    </comment>
    <comment ref="H44" authorId="0" shapeId="0" xr:uid="{DB4EB003-531C-4199-8DF4-50BB6CDE7438}">
      <text>
        <r>
          <rPr>
            <b/>
            <sz val="9"/>
            <color indexed="81"/>
            <rFont val="Tahoma"/>
            <family val="2"/>
            <charset val="238"/>
          </rPr>
          <t>CR bod (13.7.5)</t>
        </r>
      </text>
    </comment>
    <comment ref="M44" authorId="0" shapeId="0" xr:uid="{7A303F8D-836C-458C-A752-474D4679D951}">
      <text>
        <r>
          <rPr>
            <b/>
            <sz val="9"/>
            <color indexed="81"/>
            <rFont val="Tahoma"/>
            <family val="2"/>
            <charset val="238"/>
          </rPr>
          <t>CR bod (13.7.5)</t>
        </r>
      </text>
    </comment>
    <comment ref="D49" authorId="0" shapeId="0" xr:uid="{AD127D27-96B1-47D3-AA63-2E3A2E9189E0}">
      <text>
        <r>
          <rPr>
            <b/>
            <sz val="9"/>
            <color indexed="81"/>
            <rFont val="Tahoma"/>
            <family val="2"/>
            <charset val="238"/>
          </rPr>
          <t>dle CR 13.1.2.3</t>
        </r>
      </text>
    </comment>
    <comment ref="I49" authorId="0" shapeId="0" xr:uid="{B90D5FD5-7F9F-43B5-8E2C-F8FDBA864658}">
      <text>
        <r>
          <rPr>
            <b/>
            <sz val="9"/>
            <color indexed="81"/>
            <rFont val="Tahoma"/>
            <family val="2"/>
            <charset val="238"/>
          </rPr>
          <t>dle CR 13.1.2.3</t>
        </r>
      </text>
    </comment>
    <comment ref="I50" authorId="0" shapeId="0" xr:uid="{7AD300E5-9005-4F97-9EB5-7880D50B4DE2}">
      <text>
        <r>
          <rPr>
            <b/>
            <sz val="9"/>
            <color indexed="81"/>
            <rFont val="Tahoma"/>
            <family val="2"/>
            <charset val="238"/>
          </rPr>
          <t>dle CR 13.1.2.3</t>
        </r>
      </text>
    </comment>
    <comment ref="D53" authorId="0" shapeId="0" xr:uid="{3FB1959C-2E7D-4C48-8C08-BD95A9902245}">
      <text>
        <r>
          <rPr>
            <sz val="9"/>
            <color indexed="81"/>
            <rFont val="Tahoma"/>
            <family val="2"/>
            <charset val="238"/>
          </rPr>
          <t>bod 12.3. CR Cena za zúčtování OTE + NAŘÍZENÍ VLÁDY ze dne 14. prosince 2015 o stanovení sazby poplatku na činnost ERU dle § 17d odst.3 EZ</t>
        </r>
      </text>
    </comment>
    <comment ref="D54" authorId="0" shapeId="0" xr:uid="{742ECF19-26CE-4EF1-8F71-C54E91B5A89F}">
      <text>
        <r>
          <rPr>
            <b/>
            <sz val="9"/>
            <color indexed="81"/>
            <rFont val="Tahoma"/>
            <family val="2"/>
            <charset val="238"/>
          </rPr>
          <t>CR bod 13.12</t>
        </r>
      </text>
    </comment>
    <comment ref="D55" authorId="0" shapeId="0" xr:uid="{9E51A0BF-9621-401F-81B8-A319E41770B2}">
      <text>
        <r>
          <rPr>
            <b/>
            <sz val="9"/>
            <color indexed="81"/>
            <rFont val="Tahoma"/>
            <family val="2"/>
            <charset val="238"/>
          </rPr>
          <t>CR bod 13.8.</t>
        </r>
      </text>
    </comment>
    <comment ref="D56" authorId="0" shapeId="0" xr:uid="{80D0EE10-5D14-487A-A10D-D8D281B2009A}">
      <text>
        <r>
          <rPr>
            <b/>
            <sz val="9"/>
            <color indexed="81"/>
            <rFont val="Tahoma"/>
            <family val="2"/>
            <charset val="238"/>
          </rPr>
          <t>CR bod 13.9</t>
        </r>
      </text>
    </comment>
    <comment ref="E56" authorId="0" shapeId="0" xr:uid="{3E3A1988-A436-41E8-B2F6-A1BF5F4148AB}">
      <text>
        <r>
          <rPr>
            <sz val="9"/>
            <color indexed="81"/>
            <rFont val="Tahoma"/>
            <family val="2"/>
            <charset val="238"/>
          </rPr>
          <t xml:space="preserve">do r.2013 = 543
od r.2014 = 519
</t>
        </r>
      </text>
    </comment>
    <comment ref="G59" authorId="0" shapeId="0" xr:uid="{2B3BD918-B491-4A46-A432-5590F4C61588}">
      <text>
        <r>
          <rPr>
            <sz val="9"/>
            <color indexed="81"/>
            <rFont val="Tahoma"/>
            <family val="2"/>
            <charset val="238"/>
          </rPr>
          <t>stejný jako loni - viz CR 10.11</t>
        </r>
      </text>
    </comment>
    <comment ref="H59" authorId="0" shapeId="0" xr:uid="{224BCA78-EE3A-45A3-89D5-452CCE9AAF8F}">
      <text>
        <r>
          <rPr>
            <sz val="9"/>
            <color indexed="81"/>
            <rFont val="Tahoma"/>
            <family val="2"/>
            <charset val="238"/>
          </rPr>
          <t>stejný jako loni - viz CR 13.2</t>
        </r>
      </text>
    </comment>
    <comment ref="I59" authorId="0" shapeId="0" xr:uid="{671E4AAE-817B-4C47-86C8-5D63B7E61C99}">
      <text>
        <r>
          <rPr>
            <sz val="9"/>
            <color indexed="81"/>
            <rFont val="Tahoma"/>
            <family val="2"/>
            <charset val="238"/>
          </rPr>
          <t>stejný jako loni - viz CR 13.4.1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Bernátová Alena</author>
    <author>bernatova</author>
    <author>Čiháková Marta</author>
  </authors>
  <commentList>
    <comment ref="G9" authorId="0" shapeId="0" xr:uid="{875608AF-90D1-4E26-AF47-1793D7B04318}">
      <text>
        <r>
          <rPr>
            <b/>
            <sz val="9"/>
            <color indexed="81"/>
            <rFont val="Tahoma"/>
            <family val="2"/>
            <charset val="238"/>
          </rPr>
          <t>Bernátová Alena:</t>
        </r>
        <r>
          <rPr>
            <sz val="9"/>
            <color indexed="81"/>
            <rFont val="Tahoma"/>
            <family val="2"/>
            <charset val="238"/>
          </rPr>
          <t xml:space="preserve">
GHQVYPKAPC</t>
        </r>
      </text>
    </comment>
    <comment ref="D10" authorId="1" shapeId="0" xr:uid="{26195F12-229F-4465-90CD-DD5F439E7219}">
      <text>
        <r>
          <rPr>
            <sz val="8"/>
            <color indexed="81"/>
            <rFont val="Tahoma"/>
            <family val="2"/>
            <charset val="238"/>
          </rPr>
          <t xml:space="preserve">Vezme se nasmlouvaná kapacita včetně kapacity C, porovná se s hodnotou 120% M2R a pro výpočet se bere ta, která je nižší. Nesmí být však nižší než min.kap. 519 (viz. CR 13.9)
</t>
        </r>
      </text>
    </comment>
    <comment ref="E10" authorId="1" shapeId="0" xr:uid="{AEE28426-B37B-468D-BFEE-1B141A156984}">
      <text>
        <r>
          <rPr>
            <sz val="8"/>
            <color indexed="81"/>
            <rFont val="Tahoma"/>
            <family val="2"/>
            <charset val="238"/>
          </rPr>
          <t xml:space="preserve">Vezme se nasmlouvaná kapacita včetně kapacity C, porovná se s hodnotou 120% M2R a pro výpočet se bere ta, která je nižší. Nesmí být však nižší než min.kap. 519 (viz. CR 3.9)
</t>
        </r>
      </text>
    </comment>
    <comment ref="F10" authorId="2" shapeId="0" xr:uid="{67C66177-A7C9-4E74-8724-8FBF1104EC77}">
      <text>
        <r>
          <rPr>
            <b/>
            <sz val="8"/>
            <color indexed="81"/>
            <rFont val="Tahoma"/>
            <family val="2"/>
            <charset val="238"/>
          </rPr>
          <t>Čiháková Marta:</t>
        </r>
        <r>
          <rPr>
            <sz val="8"/>
            <color indexed="81"/>
            <rFont val="Tahoma"/>
            <family val="2"/>
            <charset val="238"/>
          </rPr>
          <t xml:space="preserve">
Ve faktuře není vidět, nutno opsat z operandu
G0QMAXNM3</t>
        </r>
      </text>
    </comment>
    <comment ref="G10" authorId="2" shapeId="0" xr:uid="{02DA5205-EB0A-4684-BE06-81D5785966B7}">
      <text>
        <r>
          <rPr>
            <b/>
            <sz val="8"/>
            <color indexed="81"/>
            <rFont val="Tahoma"/>
            <family val="2"/>
            <charset val="238"/>
          </rPr>
          <t>Čiháková Marta:</t>
        </r>
        <r>
          <rPr>
            <sz val="8"/>
            <color indexed="81"/>
            <rFont val="Tahoma"/>
            <family val="2"/>
            <charset val="238"/>
          </rPr>
          <t xml:space="preserve">
Ve faktuře není vidět, nutno opsat z operandu G0QSCMANM3</t>
        </r>
      </text>
    </comment>
    <comment ref="K10" authorId="2" shapeId="0" xr:uid="{48E274DC-54D2-4D08-B368-5F24DBB185E0}">
      <text>
        <r>
          <rPr>
            <b/>
            <sz val="8"/>
            <color indexed="81"/>
            <rFont val="Tahoma"/>
            <family val="2"/>
            <charset val="238"/>
          </rPr>
          <t>Čiháková Marta:</t>
        </r>
        <r>
          <rPr>
            <sz val="8"/>
            <color indexed="81"/>
            <rFont val="Tahoma"/>
            <family val="2"/>
            <charset val="238"/>
          </rPr>
          <t xml:space="preserve">
Opsat z faktury</t>
        </r>
      </text>
    </comment>
    <comment ref="E14" authorId="0" shapeId="0" xr:uid="{84C4BCCD-72EE-4B73-84ED-ED1D3212D850}">
      <text>
        <r>
          <rPr>
            <b/>
            <sz val="9"/>
            <color indexed="81"/>
            <rFont val="Tahoma"/>
            <family val="2"/>
            <charset val="238"/>
          </rPr>
          <t>Bernátová Alena:</t>
        </r>
        <r>
          <rPr>
            <sz val="9"/>
            <color indexed="81"/>
            <rFont val="Tahoma"/>
            <family val="2"/>
            <charset val="238"/>
          </rPr>
          <t xml:space="preserve">
může být menší než cena za distribuci v případě, že je RK větší než M2R a překročil</t>
        </r>
      </text>
    </comment>
    <comment ref="F14" authorId="0" shapeId="0" xr:uid="{392BF361-A4C8-404A-8F39-750FB31E95DC}">
      <text>
        <r>
          <rPr>
            <sz val="9"/>
            <color indexed="81"/>
            <rFont val="Tahoma"/>
            <family val="2"/>
            <charset val="238"/>
          </rPr>
          <t xml:space="preserve">(40*s) = 40*10,69= 427,6
</t>
        </r>
      </text>
    </comment>
    <comment ref="K14" authorId="0" shapeId="0" xr:uid="{0049E5CF-6EC9-451C-A9F0-8C7FFEC45362}">
      <text>
        <r>
          <rPr>
            <sz val="9"/>
            <color indexed="81"/>
            <rFont val="Tahoma"/>
            <family val="2"/>
            <charset val="238"/>
          </rPr>
          <t>v CR není jednoznačně uvedené z jaké kapacity vypočítat cenu za překročení, počítáme z RK, což je pro zákazníka výhodnější, ale mohlo by se počítat z M2R, v případě že je RK větší než M2R, jako je tomu při výpočtu ceny za RK.</t>
        </r>
      </text>
    </comment>
  </commentList>
</comments>
</file>

<file path=xl/sharedStrings.xml><?xml version="1.0" encoding="utf-8"?>
<sst xmlns="http://schemas.openxmlformats.org/spreadsheetml/2006/main" count="706" uniqueCount="432">
  <si>
    <t>Kč/MWh</t>
  </si>
  <si>
    <t xml:space="preserve"> </t>
  </si>
  <si>
    <t>Dálkovod</t>
  </si>
  <si>
    <t>Místní síť</t>
  </si>
  <si>
    <t>kWh</t>
  </si>
  <si>
    <t>kontrola</t>
  </si>
  <si>
    <t>Distribuované množství plynu</t>
  </si>
  <si>
    <t>Denní rezervovaná pevná kapacita měsíční 1</t>
  </si>
  <si>
    <t>Denní rezervovaná pevná kapacita měsíční 2</t>
  </si>
  <si>
    <t>Denní rezervovaná pevná kapacita měsíční 3</t>
  </si>
  <si>
    <t>Denní rezervovaná pevná kapacita měsíční 4</t>
  </si>
  <si>
    <t>Denní rezervovaná pevná kapacita měsíční 5</t>
  </si>
  <si>
    <t>Denní rezervovaná pevná kapacita klouzavá 1</t>
  </si>
  <si>
    <t>Denní rezervovaná pevná kapacita klouzavá 2</t>
  </si>
  <si>
    <t>Denní rezervovaná pevná kapacita klouzavá 3</t>
  </si>
  <si>
    <t>Denní rezervovaná pevná kapacita klouzavá 4</t>
  </si>
  <si>
    <t>Denní rezervovaná pevná kapacita klouzavá 5</t>
  </si>
  <si>
    <t>Koeficient pro výpočet denní rezervované distribuční kapacity - měsíční:</t>
  </si>
  <si>
    <t>Zobrazované ceny jsou bez DPH.</t>
  </si>
  <si>
    <t>Množství</t>
  </si>
  <si>
    <t>MJ</t>
  </si>
  <si>
    <t>Celkem bez DPH (Kč)</t>
  </si>
  <si>
    <t>Výpočet za období</t>
  </si>
  <si>
    <t>Připojení k síti</t>
  </si>
  <si>
    <r>
      <t>m</t>
    </r>
    <r>
      <rPr>
        <b/>
        <vertAlign val="superscript"/>
        <sz val="10"/>
        <color indexed="8"/>
        <rFont val="Arial"/>
        <family val="2"/>
        <charset val="238"/>
      </rPr>
      <t>3</t>
    </r>
  </si>
  <si>
    <r>
      <t>Maximální dosažený denní odběr v předchozím dvouletém</t>
    </r>
    <r>
      <rPr>
        <b/>
        <sz val="10"/>
        <color indexed="8"/>
        <rFont val="Arial"/>
        <family val="2"/>
        <charset val="238"/>
      </rPr>
      <t xml:space="preserve"> </t>
    </r>
    <r>
      <rPr>
        <sz val="10"/>
        <color indexed="8"/>
        <rFont val="Arial"/>
        <family val="2"/>
        <charset val="238"/>
      </rPr>
      <t xml:space="preserve">období </t>
    </r>
  </si>
  <si>
    <t>Cena za MJ bez DPH (Kč)</t>
  </si>
  <si>
    <t>Výpočet</t>
  </si>
  <si>
    <t>Datum rezervace Od (dd.mm.rrrr)</t>
  </si>
  <si>
    <t>Datum rezervace Od (dd.mm.rrrr.)</t>
  </si>
  <si>
    <t>Datum rezervace Do (vyber ze seznamu)</t>
  </si>
  <si>
    <t>Distribuované množství plynu za zvolené období</t>
  </si>
  <si>
    <t>Provozovatel distribuční soustavy - síť</t>
  </si>
  <si>
    <t>měsíční A</t>
  </si>
  <si>
    <t>měsíční B</t>
  </si>
  <si>
    <t>měsíční C</t>
  </si>
  <si>
    <t>měsíční D</t>
  </si>
  <si>
    <t>měsíční E</t>
  </si>
  <si>
    <t>překročení</t>
  </si>
  <si>
    <t>Denní rezervovaná pevná kapacita ve výši historického denního maxima</t>
  </si>
  <si>
    <t>Poplatek za činnosti Operátora trhu</t>
  </si>
  <si>
    <t>GasNet, s.r.o.</t>
  </si>
  <si>
    <t xml:space="preserve">  &gt; 500 000 =&lt; 1 000 000 MWh</t>
  </si>
  <si>
    <t>Pokyny k vyplnění:</t>
  </si>
  <si>
    <t xml:space="preserve">Pro kontrolu výpočtu vyplnit pouze žluté buňky.  </t>
  </si>
  <si>
    <t>Modré buňky A42 - K51 na tomto listu doplnit při změně cenového rozhodnutí novými platnými cenami a počátečním datumem do B43!</t>
  </si>
  <si>
    <t>zámek:</t>
  </si>
  <si>
    <t>osspk</t>
  </si>
  <si>
    <t>sazba VO za cenu MO je v kalkulačce MODOM</t>
  </si>
  <si>
    <t xml:space="preserve">NADLIMITNÍ SPOTŘEBA </t>
  </si>
  <si>
    <r>
      <rPr>
        <b/>
        <sz val="11"/>
        <color indexed="8"/>
        <rFont val="Calibri"/>
        <family val="2"/>
        <charset val="238"/>
      </rPr>
      <t>ROZMEZÍ součtu spotřeb od 1.1. pro určení nadlimitní ceny</t>
    </r>
    <r>
      <rPr>
        <sz val="11"/>
        <color theme="1"/>
        <rFont val="Calibri"/>
        <family val="2"/>
        <charset val="238"/>
        <scheme val="minor"/>
      </rPr>
      <t xml:space="preserve">  </t>
    </r>
  </si>
  <si>
    <t>GHQSPKWH</t>
  </si>
  <si>
    <t xml:space="preserve">Ceník </t>
  </si>
  <si>
    <t>NGAS</t>
  </si>
  <si>
    <t>Typ napojení</t>
  </si>
  <si>
    <t>dálkovod</t>
  </si>
  <si>
    <t>leden</t>
  </si>
  <si>
    <t>Fakturovaný měsíc</t>
  </si>
  <si>
    <t>únor</t>
  </si>
  <si>
    <t>zúčtované období</t>
  </si>
  <si>
    <t>březen</t>
  </si>
  <si>
    <t>celkový počet dní ve faktur.měsíci</t>
  </si>
  <si>
    <t>ZÁKLADNÍ a pomocná data</t>
  </si>
  <si>
    <t>ceny NGAS</t>
  </si>
  <si>
    <t>ceny EON</t>
  </si>
  <si>
    <t>FAKTURA</t>
  </si>
  <si>
    <t>duben</t>
  </si>
  <si>
    <t>skutečný počet fakturovaných dní</t>
  </si>
  <si>
    <t>DÁLKOVOD</t>
  </si>
  <si>
    <t>ZD vytřídění</t>
  </si>
  <si>
    <t>květen</t>
  </si>
  <si>
    <t>Je dané OM předávací místo?</t>
  </si>
  <si>
    <t>NE</t>
  </si>
  <si>
    <t>Je dané OM CNG VO?</t>
  </si>
  <si>
    <t>Kapacita celkem pro výpočet</t>
  </si>
  <si>
    <t>Rozmezí součtu kapacit - pro vzorec výp.CENY kapacit</t>
  </si>
  <si>
    <t>Rozmezí součtu kapacit - pro vzorec výp.ceny PŘEKROČENÍ</t>
  </si>
  <si>
    <t>OD</t>
  </si>
  <si>
    <t>DO</t>
  </si>
  <si>
    <t>Koef</t>
  </si>
  <si>
    <t>KK1</t>
  </si>
  <si>
    <t>KK2</t>
  </si>
  <si>
    <t>KK3</t>
  </si>
  <si>
    <t>KK4</t>
  </si>
  <si>
    <t>KK5</t>
  </si>
  <si>
    <t>KK - vypočtený koef.</t>
  </si>
  <si>
    <t>Cena MJ bez C pro překročení</t>
  </si>
  <si>
    <t>Cena MJ</t>
  </si>
  <si>
    <t>cena celkem</t>
  </si>
  <si>
    <t>hotnoty na faktuře</t>
  </si>
  <si>
    <t>červen</t>
  </si>
  <si>
    <t>% snížení kapacity (COVID SLEVA r.2020)</t>
  </si>
  <si>
    <t>KOMODITA (kWh)</t>
  </si>
  <si>
    <t>červenec</t>
  </si>
  <si>
    <t>výše kapacity před snížením</t>
  </si>
  <si>
    <t>M3R kapacita</t>
  </si>
  <si>
    <t>srpen</t>
  </si>
  <si>
    <t xml:space="preserve">PŘEKROČENÍ </t>
  </si>
  <si>
    <t>roční AB</t>
  </si>
  <si>
    <t>září</t>
  </si>
  <si>
    <t>Kap Celkem pro vyhodnocení</t>
  </si>
  <si>
    <t>roční C</t>
  </si>
  <si>
    <t>říjen</t>
  </si>
  <si>
    <t>tolerance pro překročení</t>
  </si>
  <si>
    <t>roční přerušit.</t>
  </si>
  <si>
    <t>listopad</t>
  </si>
  <si>
    <t>denní max.toler.spotř.</t>
  </si>
  <si>
    <t>Celkem bez M3R</t>
  </si>
  <si>
    <t>prosinec</t>
  </si>
  <si>
    <t>hodinová max.toler.spotř.</t>
  </si>
  <si>
    <t>celkem v MWh</t>
  </si>
  <si>
    <t>den Dmax</t>
  </si>
  <si>
    <t>Dmax hodinové</t>
  </si>
  <si>
    <t>chybí do 500</t>
  </si>
  <si>
    <t>dosažené Dmax v m3</t>
  </si>
  <si>
    <t>hodinově</t>
  </si>
  <si>
    <t>% překročení</t>
  </si>
  <si>
    <t>Překročení v m3 nad 3,8%</t>
  </si>
  <si>
    <t>měsíční přeruš. 1</t>
  </si>
  <si>
    <t>Překročení pro výpočet</t>
  </si>
  <si>
    <t>měsíční přeruš. 2</t>
  </si>
  <si>
    <t>je nastaven operand G0FLDNPREK</t>
  </si>
  <si>
    <t>ano</t>
  </si>
  <si>
    <t>měsíční přeruš. 3</t>
  </si>
  <si>
    <t>měsíční přeruš. 4</t>
  </si>
  <si>
    <t>měsíční přeruš. 5</t>
  </si>
  <si>
    <t>pomocné pro vyhodnoc.překročení</t>
  </si>
  <si>
    <t>klouz.A</t>
  </si>
  <si>
    <t>klouz.B</t>
  </si>
  <si>
    <t>PŘEKROČENÍ pro výrobce</t>
  </si>
  <si>
    <t>klouz.C</t>
  </si>
  <si>
    <t>klouz.D</t>
  </si>
  <si>
    <t>klouz.E</t>
  </si>
  <si>
    <t>xxx</t>
  </si>
  <si>
    <t>OTE</t>
  </si>
  <si>
    <t>xx</t>
  </si>
  <si>
    <t>dosažené Dmax</t>
  </si>
  <si>
    <t>Celkem bez DPH</t>
  </si>
  <si>
    <t>Celkem s DPH</t>
  </si>
  <si>
    <t>Překročení nad 3,8%</t>
  </si>
  <si>
    <t>Výrobce</t>
  </si>
  <si>
    <t>ne</t>
  </si>
  <si>
    <t>Celkem S DPH</t>
  </si>
  <si>
    <t>Hodnoty z platného cenového rozhodnutí platné od:</t>
  </si>
  <si>
    <t>Cena komodita</t>
  </si>
  <si>
    <t>KAPACITA Dálkovod</t>
  </si>
  <si>
    <t>společnost</t>
  </si>
  <si>
    <t>Kč/kWh</t>
  </si>
  <si>
    <t>A</t>
  </si>
  <si>
    <t>A pro M3R</t>
  </si>
  <si>
    <t>B</t>
  </si>
  <si>
    <t>&lt;= 200 000 m3</t>
  </si>
  <si>
    <r>
      <t>CK=(a+b*ln k)</t>
    </r>
    <r>
      <rPr>
        <sz val="11"/>
        <color indexed="40"/>
        <rFont val="Calibri"/>
        <family val="2"/>
        <charset val="238"/>
      </rPr>
      <t xml:space="preserve">*1000 </t>
    </r>
  </si>
  <si>
    <t>&gt;200 000 m3 &lt;= 600 000 m3</t>
  </si>
  <si>
    <t>EON</t>
  </si>
  <si>
    <t>&gt;600 000 m3</t>
  </si>
  <si>
    <t>CNG Ngas</t>
  </si>
  <si>
    <t>CNG EON</t>
  </si>
  <si>
    <t>NADLIMITNÍ SPOTŘEBA</t>
  </si>
  <si>
    <t>&gt; 500 000 MWh</t>
  </si>
  <si>
    <t xml:space="preserve">  &gt; 1 000 000 =&lt; 1 500 000 MWh</t>
  </si>
  <si>
    <t>KAPACITA Místní síť</t>
  </si>
  <si>
    <t xml:space="preserve">  &gt; 1 500 000 MWh</t>
  </si>
  <si>
    <t>NENÍ NADLIMIT</t>
  </si>
  <si>
    <t xml:space="preserve">CK=(a+b*ln k)*1000 </t>
  </si>
  <si>
    <t>Poplatek OTE</t>
  </si>
  <si>
    <t>Cena OTE z CR za zúčtování</t>
  </si>
  <si>
    <r>
      <rPr>
        <b/>
        <sz val="11"/>
        <color indexed="8"/>
        <rFont val="Calibri"/>
        <family val="2"/>
        <charset val="238"/>
      </rPr>
      <t>CPPZ-n</t>
    </r>
    <r>
      <rPr>
        <sz val="11"/>
        <color theme="1"/>
        <rFont val="Calibri"/>
        <family val="2"/>
        <charset val="238"/>
        <scheme val="minor"/>
      </rPr>
      <t xml:space="preserve"> (Kč/MWh/den)</t>
    </r>
  </si>
  <si>
    <t>Kč/m3</t>
  </si>
  <si>
    <t>min.cena za RDK a PDK</t>
  </si>
  <si>
    <t>40000 Kč/tis.m3</t>
  </si>
  <si>
    <t>min.denní kapacita m3/den</t>
  </si>
  <si>
    <t>pomocný datum konce ZO</t>
  </si>
  <si>
    <t>pořadové číslo měsíce</t>
  </si>
  <si>
    <t xml:space="preserve">Koeficient pro výpočet: </t>
  </si>
  <si>
    <t>počet dní ve fakturovaném měsíci</t>
  </si>
  <si>
    <t>měsíční kapacity</t>
  </si>
  <si>
    <t>klouzavá</t>
  </si>
  <si>
    <t>první den v měsíci</t>
  </si>
  <si>
    <t>finální max.datum KK + poč.dní fakt.měsíce</t>
  </si>
  <si>
    <t>13.4) Ceny za denní rezervovanou pevnou klouzavou distribuční kapacitu</t>
  </si>
  <si>
    <t>Finální datum pro ověř.dat</t>
  </si>
  <si>
    <t>maximální datum konce KK - konec násl.měsíce začátku sjednané KK</t>
  </si>
  <si>
    <t>minimální datum konce KK - plus celkový počet dní měsíce začátku KK</t>
  </si>
  <si>
    <t>začátek KK</t>
  </si>
  <si>
    <t>EG.D, a.s.</t>
  </si>
  <si>
    <t>místní síť</t>
  </si>
  <si>
    <t>'Výpočet ceny distribuce'!</t>
  </si>
  <si>
    <t>Výpočet ceny distribuce'!</t>
  </si>
  <si>
    <t>KDYŽ('Výpočet ceny distribuce'!!B5='kalkulačka pro klasik a špičk.'!C45;'kalkulačka pro klasik a špičk.'!D45;KDYŽ('Výpočet ceny distribuce'!!B5='kalkulačka pro klasik a špičk.'!C46;'kalkulačka pro klasik a špičk.'!D46;""))</t>
  </si>
  <si>
    <t>maximální datum začátku KK. 2.kal.den předcház.měsíce</t>
  </si>
  <si>
    <t>minimální datum začátku KK - konec fakt.měsíce</t>
  </si>
  <si>
    <t>měsíc zjišťování ceny KK resp.fakturace</t>
  </si>
  <si>
    <t>počet dní KK ve zjišťovaném měsíci</t>
  </si>
  <si>
    <t>pomocný pro zjištění počtu dní KK v daném měsíci</t>
  </si>
  <si>
    <t>Vyhodnocení nadlimitu komodity:</t>
  </si>
  <si>
    <r>
      <t>Seznam sazeb</t>
    </r>
    <r>
      <rPr>
        <sz val="11"/>
        <color theme="1"/>
        <rFont val="Calibri"/>
        <family val="2"/>
        <charset val="238"/>
        <scheme val="minor"/>
      </rPr>
      <t xml:space="preserve"> z pohledu, jestli u nich má smysl vyhodnocovat nadlimitní cenu</t>
    </r>
  </si>
  <si>
    <t xml:space="preserve">- pro fakturaci se pro vyhodnocení nadlimitu bere součet předchozích fakturovaných spotřeb v daném roce tj. mimo poslední spotřeby, která je fakturována. </t>
  </si>
  <si>
    <t>Červených se změna netýká, zde není potřeba dělat úpravy, u ostatních dle komentáře:</t>
  </si>
  <si>
    <t xml:space="preserve">- pro plány záloh se pro vyhodnocení nadlimitu bere součet všech fakturovaných spotřeb v daném roce VČETNĚ dané faktury, které je PZ součástí. </t>
  </si>
  <si>
    <r>
      <t xml:space="preserve">    </t>
    </r>
    <r>
      <rPr>
        <sz val="11"/>
        <color rgb="FFFF0000"/>
        <rFont val="Calibri"/>
        <family val="2"/>
        <charset val="238"/>
        <scheme val="minor"/>
      </rPr>
      <t>G20VJSDPRD               VO20 Přeruš./rekon. jednosl. DI (nulová)</t>
    </r>
  </si>
  <si>
    <t xml:space="preserve">- pro agregované zálohy se vyhodnocení nadlimitu postupuje stejně jako u plánu záloh. </t>
  </si>
  <si>
    <t>    G20VJSD__D               VO20 Jednosložková distribuce – vyjmuta z úpravy dle CR</t>
  </si>
  <si>
    <t>G20VCNGPRD            VO20 Přeruš./rekonstr. CNG (nulová)</t>
  </si>
  <si>
    <t>Vyhodnocení nadlimitu kapacity:</t>
  </si>
  <si>
    <t>G20VCNG__D            VO20 Sazba pro CNG – účtuje se pouze komodita a má vlastní ceník</t>
  </si>
  <si>
    <t xml:space="preserve">nadlimit může být různý pro roční kapacity, měsíční, klouzavé i pro přerušení. </t>
  </si>
  <si>
    <t>G20VDODPRD            VO20 Přeruš./rekonstr. dodávka DI (kap.)</t>
  </si>
  <si>
    <t xml:space="preserve">pro roční kapacity se nadlimit vyhodnocuje součtem všech ročních kapacit tj. roční AB + roční C + roční přerušit. </t>
  </si>
  <si>
    <t>G20VDOD__D            VO20 Dodávka – účtuje se pouze kapacita a má vlastní ceník</t>
  </si>
  <si>
    <t>pro všechny měsíční kapacity se nadlimit vyhodnocuje součtem všech výše uvedených ročních kapacit a všech měsíčních kapacit klasických i přerušitelných</t>
  </si>
  <si>
    <t>G20VMO___D           VO20 Sazba ceny MO – účtují se ceny MO, úprava se ho netýká</t>
  </si>
  <si>
    <t>pro kouzavé kapacity se nadlimit vyhodnocuje součtem všech výše uvedených ročních a měsíčních kapacit a pak dle období sjednání se postupně nasčítávají klouzavé kapacity, každá klouzavá kapacita tedy může být v jiném pásmu nadlimitu</t>
  </si>
  <si>
    <t>G20VNEKA_D             VO20 Sazba bez kapacity – pouze cena za komoditu</t>
  </si>
  <si>
    <t>pro překročení se nadlimit vyhodnocuje součtem ročních kapacit bez kapacity C a součtem všech měsíčních kapacit, klouzavá kapacita se nasčítá pouze ta, která je ke dni překročení nasmlouvaná, takže může mít nižší pásmo než všechny kapacity dohromady viz příklad na IGQ OM 2246000029, fa za 06/2021, kdy překročení bylo 2.6.</t>
  </si>
  <si>
    <t>G20VNEPL_D              VO20 Neplacení (kapacita) – pouze cena za kapacitu</t>
  </si>
  <si>
    <t>G20VNULL_D              VO20 Nulová sazba – neúčtuje se kapacita ani komodita</t>
  </si>
  <si>
    <t>G20VPHP__D             VO20 Přeshraniční plynovod 2016 – má vlastní definici ceny</t>
  </si>
  <si>
    <t>G20VPRET_D              VO20 Interní přetoky – pouze se vyčíslují spotřeby bez naceněné</t>
  </si>
  <si>
    <t>G20VREKN_D             VO20 Rekonstrukce (kapacita) – pouze cena za kapacitu</t>
  </si>
  <si>
    <t>G20VZKU__D             VO20 Zkušební provoz</t>
  </si>
  <si>
    <t>G20V_____D              VO20 Běžná sazba (vč. Kapacity dle hist. maxima)</t>
  </si>
  <si>
    <t>Specifika v ZD:</t>
  </si>
  <si>
    <t xml:space="preserve">- celková hodnota nadlimitu komodity uvedena v ZD na řádku ZLIMSP  nadlimitní spotřebaU AZ i když je v ZD </t>
  </si>
  <si>
    <t>- detail vyhodnocení nadlimitu kapacitu je uveden v ZD: Přehled dokladu, řádek ZLOG00 a klik na číslo řádku, Záložka Doplňková data. Příklad k tomuto OM, ZD 1221022975 řádek ZD u překročení dohledám řádek ZLOG00 s hodnotou částky ceny náležící pro překročení:</t>
  </si>
  <si>
    <t>číslo 1 je hodnota součtu kapacit pro vyhodnocení nadlimitu</t>
  </si>
  <si>
    <t>číslo 2 je koeficient B</t>
  </si>
  <si>
    <t>číslo 3 je koeficient A</t>
  </si>
  <si>
    <t>číslo 4 je hodnota minimální kapacity dle CR</t>
  </si>
  <si>
    <t>číslo 5 je minimální min.cena za kapacitu dle CR</t>
  </si>
  <si>
    <t>číslo 6 je hodnota CPPZ-n (Kč/MWh/den) dle CR</t>
  </si>
  <si>
    <t>Hodnoty z platného cenového rozhodnutí</t>
  </si>
  <si>
    <t>sazba</t>
  </si>
  <si>
    <t>...VJSD__D</t>
  </si>
  <si>
    <t>(13.1.10)</t>
  </si>
  <si>
    <t>cena za komoditu Kč/kWH</t>
  </si>
  <si>
    <t>Koeficienty DV</t>
  </si>
  <si>
    <t>Koeficienty MS</t>
  </si>
  <si>
    <t>Společnost</t>
  </si>
  <si>
    <t>poplatek OTE</t>
  </si>
  <si>
    <t>kap. s tolerancí pro překročení</t>
  </si>
  <si>
    <t>distribuované kWH</t>
  </si>
  <si>
    <t>Dosažené denní maximum</t>
  </si>
  <si>
    <t>oprávněnost prokázána</t>
  </si>
  <si>
    <t>kapacita pro překročení</t>
  </si>
  <si>
    <t>kapacita pro AB</t>
  </si>
  <si>
    <t>vyp.kap.pro C</t>
  </si>
  <si>
    <t>kap.celkem</t>
  </si>
  <si>
    <t>výše překročení</t>
  </si>
  <si>
    <t>kapacita pro výpočet CK</t>
  </si>
  <si>
    <t>koeficient překročení</t>
  </si>
  <si>
    <t>120% M2R (dvouleté maximum)</t>
  </si>
  <si>
    <t>M2R v m3</t>
  </si>
  <si>
    <t>fakturované období</t>
  </si>
  <si>
    <t>výsledek fakturace pro různé účetní okruhy a připojení</t>
  </si>
  <si>
    <t xml:space="preserve">sazba za kWh pro špičkový odběr dle CR musí být minimálně </t>
  </si>
  <si>
    <t>způsob napojení</t>
  </si>
  <si>
    <t>CK (cena za kapacitu dle log. modelu)</t>
  </si>
  <si>
    <t>CK (cena za překročení)</t>
  </si>
  <si>
    <t>Pomocná sazba (CK/427,6)</t>
  </si>
  <si>
    <t>Pomocná minimální sazba CK/(40*s) = CK/ (40*10,69) = CK/427,6</t>
  </si>
  <si>
    <t>sazba za kWh pro špičkový odběr</t>
  </si>
  <si>
    <t>cena za distribuci</t>
  </si>
  <si>
    <t>cena OTE</t>
  </si>
  <si>
    <t>cena za překročení</t>
  </si>
  <si>
    <t>celkem bez DPH</t>
  </si>
  <si>
    <t>např. 3240001426, 3240001255 (bez hist. Do 11/2015)</t>
  </si>
  <si>
    <t>např. OM 6240233064 (mix) Bohemia Asfalt, 3240001323</t>
  </si>
  <si>
    <t>Měnit se dají pouze žluté rámečky, ostatní se dopočte</t>
  </si>
  <si>
    <r>
      <t xml:space="preserve">Přiřazení ceny, výpočet faktury  (kalkulačka) 
• Překročení 
• Cena za komoditu.                                                                         Nastavení data splatnosti a DUZP, celkový vzhled dokladu dle vzoru, kontrola výstupů na Printcentru.
</t>
    </r>
    <r>
      <rPr>
        <sz val="9"/>
        <color rgb="FFFF0000"/>
        <rFont val="Arial"/>
        <family val="2"/>
        <charset val="238"/>
      </rPr>
      <t xml:space="preserve">Možnosti výpočtu jednotkové ceny:      </t>
    </r>
    <r>
      <rPr>
        <sz val="9"/>
        <color theme="1"/>
        <rFont val="Arial"/>
        <family val="2"/>
        <charset val="238"/>
      </rPr>
      <t xml:space="preserve">                                                           • Na základě sjednané hodnoty kapacity uvedené v žádosti o RDK (</t>
    </r>
    <r>
      <rPr>
        <b/>
        <sz val="9"/>
        <color indexed="8"/>
        <rFont val="Arial"/>
        <family val="2"/>
        <charset val="238"/>
      </rPr>
      <t>uvedené v operandu G0QMAXNM3</t>
    </r>
    <r>
      <rPr>
        <sz val="9"/>
        <color indexed="8"/>
        <rFont val="Arial"/>
        <family val="2"/>
        <charset val="238"/>
      </rPr>
      <t xml:space="preserve">) v případě, že </t>
    </r>
    <r>
      <rPr>
        <sz val="9"/>
        <color rgb="FF00B050"/>
        <rFont val="Arial"/>
        <family val="2"/>
        <charset val="238"/>
      </rPr>
      <t xml:space="preserve">sjednané hodnota nepřesáhne </t>
    </r>
    <r>
      <rPr>
        <sz val="9"/>
        <color indexed="8"/>
        <rFont val="Arial"/>
        <family val="2"/>
        <charset val="238"/>
      </rPr>
      <t xml:space="preserve">maximálně dosaženou hodnotu dvouletého maxima (klouzavé období dle zúčtovacího období) </t>
    </r>
    <r>
      <rPr>
        <sz val="9"/>
        <color rgb="FF00B050"/>
        <rFont val="Arial"/>
        <family val="2"/>
        <charset val="238"/>
      </rPr>
      <t>a v případě, kdy nejsou u zákazníka známy odběry plynu za předchozí 2leté období</t>
    </r>
    <r>
      <rPr>
        <sz val="9"/>
        <color indexed="8"/>
        <rFont val="Arial"/>
        <family val="2"/>
        <charset val="238"/>
      </rPr>
      <t xml:space="preserve">
• Na základě maximálně dosažené hodnoty dvouletého maxima (</t>
    </r>
    <r>
      <rPr>
        <b/>
        <sz val="9"/>
        <color indexed="8"/>
        <rFont val="Arial"/>
        <family val="2"/>
        <charset val="238"/>
      </rPr>
      <t>klouzavé období dle zúčtovacího období uvedené v operandu GHUHM2RNM3</t>
    </r>
    <r>
      <rPr>
        <sz val="9"/>
        <color indexed="8"/>
        <rFont val="Arial"/>
        <family val="2"/>
        <charset val="238"/>
      </rPr>
      <t xml:space="preserve">) v případě že </t>
    </r>
    <r>
      <rPr>
        <sz val="9"/>
        <color rgb="FF00B050"/>
        <rFont val="Arial"/>
        <family val="2"/>
        <charset val="238"/>
      </rPr>
      <t>sjednané hodnota přesáhla hodnotu dvouletého maxima.</t>
    </r>
    <r>
      <rPr>
        <sz val="9"/>
        <color indexed="8"/>
        <rFont val="Arial"/>
        <family val="2"/>
        <charset val="238"/>
      </rPr>
      <t xml:space="preserve">
• </t>
    </r>
    <r>
      <rPr>
        <sz val="9"/>
        <color rgb="FFFF0000"/>
        <rFont val="Arial"/>
        <family val="2"/>
        <charset val="238"/>
      </rPr>
      <t xml:space="preserve">Vždy na základě sjednané hodnoty kapacity uvedené v žádosti o RDK </t>
    </r>
    <r>
      <rPr>
        <b/>
        <sz val="9"/>
        <color rgb="FFFF0000"/>
        <rFont val="Arial"/>
        <family val="2"/>
        <charset val="238"/>
      </rPr>
      <t>(uvedené v operandu G0QMAXNM3</t>
    </r>
    <r>
      <rPr>
        <sz val="9"/>
        <color rgb="FFFF0000"/>
        <rFont val="Arial"/>
        <family val="2"/>
        <charset val="238"/>
      </rPr>
      <t>) v případě, že sjednané hodnota byla zákazníkem prokázána</t>
    </r>
    <r>
      <rPr>
        <sz val="9"/>
        <color indexed="8"/>
        <rFont val="Arial"/>
        <family val="2"/>
        <charset val="238"/>
      </rPr>
      <t xml:space="preserve"> (</t>
    </r>
    <r>
      <rPr>
        <b/>
        <sz val="9"/>
        <color indexed="8"/>
        <rFont val="Arial"/>
        <family val="2"/>
        <charset val="238"/>
      </rPr>
      <t>tato hodnoty je v systému ZIS ošetřena platností operandu G0FKAPPROK</t>
    </r>
    <r>
      <rPr>
        <sz val="9"/>
        <color indexed="8"/>
        <rFont val="Arial"/>
        <family val="2"/>
        <charset val="238"/>
      </rPr>
      <t xml:space="preserve">. </t>
    </r>
  </si>
  <si>
    <t>Na faktuře jsou vidět pouze hodnoty označené modře, ostatní jsou pomocné mezivýpočty</t>
  </si>
  <si>
    <t>Pravidla fakturace pro špičkový odběr:</t>
  </si>
  <si>
    <r>
      <t xml:space="preserve">cena pouze za komoditu, sazba za kWh se počítá spec. cenovým vzorcem v Kč/MWh: </t>
    </r>
    <r>
      <rPr>
        <b/>
        <sz val="11"/>
        <color theme="1"/>
        <rFont val="Calibri"/>
        <family val="2"/>
        <charset val="238"/>
        <scheme val="minor"/>
      </rPr>
      <t>Cjedn = CK/(40×s) + Ckom + 20</t>
    </r>
  </si>
  <si>
    <r>
      <t>pro výpočet komodity se CK je roční cena za RDK stanoví podle vzorce v bodě (13.1.2.1) písmene a) nebo (13.1.2.2) písmene a) tj</t>
    </r>
    <r>
      <rPr>
        <b/>
        <sz val="11"/>
        <color rgb="FF7030A0"/>
        <rFont val="Calibri"/>
        <family val="2"/>
        <charset val="238"/>
        <scheme val="minor"/>
      </rPr>
      <t>.vždy má cenu pro kapacitu do 200 000 m3</t>
    </r>
    <r>
      <rPr>
        <sz val="11"/>
        <color rgb="FF7030A0"/>
        <rFont val="Calibri"/>
        <family val="2"/>
        <charset val="238"/>
        <scheme val="minor"/>
      </rPr>
      <t xml:space="preserve"> dle vzorce v Kč/tis. m3: </t>
    </r>
    <r>
      <rPr>
        <b/>
        <sz val="11"/>
        <color rgb="FF7030A0"/>
        <rFont val="Calibri"/>
        <family val="2"/>
        <charset val="238"/>
        <scheme val="minor"/>
      </rPr>
      <t>CK=(a+b*ln k)*1000</t>
    </r>
  </si>
  <si>
    <t>neplatí cenu za kapacitu</t>
  </si>
  <si>
    <r>
      <rPr>
        <sz val="11"/>
        <color rgb="FFFF0000"/>
        <rFont val="Calibri"/>
        <family val="2"/>
        <charset val="238"/>
        <scheme val="minor"/>
      </rPr>
      <t>nemůže</t>
    </r>
    <r>
      <rPr>
        <sz val="11"/>
        <color theme="1"/>
        <rFont val="Calibri"/>
        <family val="2"/>
        <charset val="238"/>
        <scheme val="minor"/>
      </rPr>
      <t xml:space="preserve"> mít měsíční kapacitu, klouzavou kapacitu, ale </t>
    </r>
    <r>
      <rPr>
        <sz val="11"/>
        <color rgb="FFFF0000"/>
        <rFont val="Calibri"/>
        <family val="2"/>
        <charset val="238"/>
        <scheme val="minor"/>
      </rPr>
      <t>počítá se mu překročení</t>
    </r>
  </si>
  <si>
    <t>Úprava výpočtu jednosložkové kapacity v r.2012</t>
  </si>
  <si>
    <r>
      <t>1.</t>
    </r>
    <r>
      <rPr>
        <sz val="7"/>
        <color rgb="FF000000"/>
        <rFont val="Times New Roman"/>
        <family val="1"/>
        <charset val="238"/>
      </rPr>
      <t xml:space="preserve">       </t>
    </r>
    <r>
      <rPr>
        <sz val="11"/>
        <color rgb="FF000000"/>
        <rFont val="Calibri"/>
        <family val="2"/>
        <charset val="238"/>
      </rPr>
      <t xml:space="preserve">Pokud je výše kapacity prokázána, počítá se cena jednosložkové kapacity ze smluvní kapacity  </t>
    </r>
  </si>
  <si>
    <r>
      <t>2.</t>
    </r>
    <r>
      <rPr>
        <sz val="7"/>
        <color rgb="FF000000"/>
        <rFont val="Times New Roman"/>
        <family val="1"/>
        <charset val="238"/>
      </rPr>
      <t xml:space="preserve">       </t>
    </r>
    <r>
      <rPr>
        <sz val="11"/>
        <color rgb="FF000000"/>
        <rFont val="Calibri"/>
        <family val="2"/>
        <charset val="238"/>
      </rPr>
      <t>Pokud výše prokázána není:</t>
    </r>
  </si>
  <si>
    <r>
      <t>A)</t>
    </r>
    <r>
      <rPr>
        <sz val="7"/>
        <color rgb="FF000000"/>
        <rFont val="Times New Roman"/>
        <family val="1"/>
        <charset val="238"/>
      </rPr>
      <t xml:space="preserve">     </t>
    </r>
    <r>
      <rPr>
        <sz val="11"/>
        <color rgb="FF000000"/>
        <rFont val="Calibri"/>
        <family val="2"/>
        <charset val="238"/>
      </rPr>
      <t>počítá se klouzavé dvouleté denní maximum M2R;</t>
    </r>
  </si>
  <si>
    <r>
      <t>B)</t>
    </r>
    <r>
      <rPr>
        <sz val="7"/>
        <color rgb="FF000000"/>
        <rFont val="Times New Roman"/>
        <family val="1"/>
        <charset val="238"/>
      </rPr>
      <t xml:space="preserve">      </t>
    </r>
    <r>
      <rPr>
        <sz val="11"/>
        <color rgb="FF000000"/>
        <rFont val="Calibri"/>
        <family val="2"/>
        <charset val="238"/>
      </rPr>
      <t xml:space="preserve">pokud smluvní kapacita &lt;= 120% M2R,  počítá se cena kapacity ze smluvní kapacity  </t>
    </r>
  </si>
  <si>
    <r>
      <t>C)</t>
    </r>
    <r>
      <rPr>
        <sz val="7"/>
        <color rgb="FF000000"/>
        <rFont val="Times New Roman"/>
        <family val="1"/>
        <charset val="238"/>
      </rPr>
      <t xml:space="preserve">      </t>
    </r>
    <r>
      <rPr>
        <sz val="11"/>
        <color rgb="FF000000"/>
        <rFont val="Calibri"/>
        <family val="2"/>
        <charset val="238"/>
      </rPr>
      <t xml:space="preserve">pokud smluvní kapacita &gt; 120% M2R, </t>
    </r>
    <r>
      <rPr>
        <sz val="11"/>
        <color rgb="FFFF0000"/>
        <rFont val="Calibri"/>
        <family val="2"/>
        <charset val="238"/>
      </rPr>
      <t>počítá se cena kapacity ze 120% M2R;</t>
    </r>
  </si>
  <si>
    <r>
      <t xml:space="preserve">Typy sazby: </t>
    </r>
    <r>
      <rPr>
        <b/>
        <sz val="11"/>
        <color rgb="FF000000"/>
        <rFont val="Calibri"/>
        <family val="2"/>
        <charset val="238"/>
      </rPr>
      <t>G11VJSD__D</t>
    </r>
    <r>
      <rPr>
        <sz val="11"/>
        <color rgb="FF000000"/>
        <rFont val="Calibri"/>
        <family val="2"/>
        <charset val="238"/>
      </rPr>
      <t xml:space="preserve"> - VO11 distribuce jednosložkově distribuce</t>
    </r>
  </si>
  <si>
    <r>
      <t xml:space="preserve">Nový operand s příznakem, že výše kapacity je prokázána </t>
    </r>
    <r>
      <rPr>
        <b/>
        <sz val="11"/>
        <color rgb="FF000000"/>
        <rFont val="Calibri"/>
        <family val="2"/>
        <charset val="238"/>
      </rPr>
      <t>G0FKAPPROK.</t>
    </r>
  </si>
  <si>
    <r>
      <t xml:space="preserve">Nový operand s vypočteným dvouletým maximem do fakt OM - </t>
    </r>
    <r>
      <rPr>
        <b/>
        <sz val="11"/>
        <color rgb="FF000000"/>
        <rFont val="Calibri"/>
        <family val="2"/>
        <charset val="238"/>
      </rPr>
      <t>GHUHM2RNM3.</t>
    </r>
  </si>
  <si>
    <t>Do ZD přidán nový infořádek ZQKPM2, ve kterém se zaznamenává vypočtená hodnota.</t>
  </si>
  <si>
    <t>jakákoli faktura včetně NOP by měla projít kontrolou, zda pro výpočet kapacity C jsou k dispozici údaje za celé rozhodné období a pokud nejsou, tak hledat hodnotu kapacity C v G0QSCMANM3. Pokud není naplněný, zobrazit chybu.</t>
  </si>
  <si>
    <t>VOSO měření C a MO z dálkovodu měsíční (měs.logar.sazby)</t>
  </si>
  <si>
    <t>VOSO za cenu a MO (sazba G6VMO____D)</t>
  </si>
  <si>
    <t>Cena za komoditu a kapacitu je dle ceníku pro VOSO</t>
  </si>
  <si>
    <t>Cena za komoditu a kapacitu je dle ceníku pro MODOM</t>
  </si>
  <si>
    <t>Od</t>
  </si>
  <si>
    <t>Do</t>
  </si>
  <si>
    <t>Počet dní</t>
  </si>
  <si>
    <t>Denní kapacita dle CR</t>
  </si>
  <si>
    <t>Spotřeba dle GHQSPNM3A</t>
  </si>
  <si>
    <t>Vypočtená kapacita</t>
  </si>
  <si>
    <t>Příklady OM/TD</t>
  </si>
  <si>
    <t>logar. externí</t>
  </si>
  <si>
    <t>…..ML___MD</t>
  </si>
  <si>
    <t>OM</t>
  </si>
  <si>
    <t>td</t>
  </si>
  <si>
    <t>TD</t>
  </si>
  <si>
    <t>logar.interní</t>
  </si>
  <si>
    <t>ANO</t>
  </si>
  <si>
    <t>Vyhodnocovaný měsíc</t>
  </si>
  <si>
    <t>suchdol</t>
  </si>
  <si>
    <t>&lt;= 500 000 MWh</t>
  </si>
  <si>
    <t>Místní Síť (MS)</t>
  </si>
  <si>
    <t>Dálkovod (DV)</t>
  </si>
  <si>
    <t>Rozmezí pro DV/MS</t>
  </si>
  <si>
    <t>final vyhodnocení</t>
  </si>
  <si>
    <t>napojení</t>
  </si>
  <si>
    <t>PDS</t>
  </si>
  <si>
    <t>pomocný pro dohledání final hodnot</t>
  </si>
  <si>
    <t>přihlaš. Od</t>
  </si>
  <si>
    <t>vzorky</t>
  </si>
  <si>
    <t>výše kapacity je prokázána G0FKAPPROK prokázána</t>
  </si>
  <si>
    <t>Cena za distribuci plynu celkem bez DPH pro jednosložkový tarif</t>
  </si>
  <si>
    <t>MS</t>
  </si>
  <si>
    <t>DV</t>
  </si>
  <si>
    <t>Cena za službu distribuční soustavy celkem bez DPH</t>
  </si>
  <si>
    <t xml:space="preserve">Cena celkem bez DPH pro běžný tarif </t>
  </si>
  <si>
    <t>Překročení denní rezervované kapacity</t>
  </si>
  <si>
    <t>Koeficient pro výpočet platby za překročení:</t>
  </si>
  <si>
    <t>Denní rezervovaná pevná kapacita (pro měření typu C)</t>
  </si>
  <si>
    <t>Denní rezervovaná pevná kapacita na dobu neurčitou (pro měření typu A a B)</t>
  </si>
  <si>
    <t>kontrola zadání</t>
  </si>
  <si>
    <t>SVYHLEDAT($K$5;I50:K50;3;NEPRAVDA)</t>
  </si>
  <si>
    <t>Počet období</t>
  </si>
  <si>
    <t>Období měsíce</t>
  </si>
  <si>
    <t>Výše přepočtené spotřeby v m³ ke dni překročení</t>
  </si>
  <si>
    <t>pouze pro špičk.odběr</t>
  </si>
  <si>
    <r>
      <t>D)</t>
    </r>
    <r>
      <rPr>
        <sz val="7"/>
        <color rgb="FF000000"/>
        <rFont val="Times New Roman"/>
        <family val="1"/>
        <charset val="238"/>
      </rPr>
      <t xml:space="preserve">     </t>
    </r>
    <r>
      <rPr>
        <sz val="11"/>
        <color rgb="FF000000"/>
        <rFont val="Calibri"/>
        <family val="2"/>
        <charset val="238"/>
      </rPr>
      <t xml:space="preserve">pokud </t>
    </r>
    <r>
      <rPr>
        <sz val="11"/>
        <color rgb="FFFF0000"/>
        <rFont val="Calibri"/>
        <family val="2"/>
        <charset val="238"/>
      </rPr>
      <t>neexistuje dvouletá historie</t>
    </r>
    <r>
      <rPr>
        <sz val="11"/>
        <color rgb="FF000000"/>
        <rFont val="Calibri"/>
        <family val="2"/>
        <charset val="238"/>
      </rPr>
      <t xml:space="preserve">, počítá se cena kapacity ze smluvní kapacity </t>
    </r>
  </si>
  <si>
    <t>Předávací místo mezi distribučními soustavami (LDS,RDS)</t>
  </si>
  <si>
    <t>Leden</t>
  </si>
  <si>
    <t>Únor</t>
  </si>
  <si>
    <t>Březen</t>
  </si>
  <si>
    <t>Duben</t>
  </si>
  <si>
    <t>Květen</t>
  </si>
  <si>
    <t>Červen</t>
  </si>
  <si>
    <t>Červenec</t>
  </si>
  <si>
    <t>Srpen</t>
  </si>
  <si>
    <t>Září</t>
  </si>
  <si>
    <t>Říjen</t>
  </si>
  <si>
    <t>Prosinec</t>
  </si>
  <si>
    <t>Listopad</t>
  </si>
  <si>
    <t>zkušební provoz</t>
  </si>
  <si>
    <t>vypočtená kapacita VOSO</t>
  </si>
  <si>
    <t>Druh OM/odběru</t>
  </si>
  <si>
    <t>CNG VOSO</t>
  </si>
  <si>
    <t>Předávací místo mezi DS (LDS,RDS)</t>
  </si>
  <si>
    <t>Zkušební provoz</t>
  </si>
  <si>
    <t>upravit kalkulačku na to, aby CNG VO viz CR 13.13.2 - vyhodnocovalo jak má tj. cena pouze za komoditu, pevná cena nezávislá na kapacitě a na spotřebě tj. neplatí za ŽÁDNOU kapacitu, nemůže mít MK ani KK ale aspoň dle CR22 se mu již POČÍTÁ překročení OD 1.7.2022, nemá ale nadlimitní cenu, vždy jen základní vzorec dle bodu a)</t>
  </si>
  <si>
    <t>fakturovaná část měsíce - mifa</t>
  </si>
  <si>
    <t>final poslat na Kousal Tomáš, Lukáš Hoch</t>
  </si>
  <si>
    <t>Běžný</t>
  </si>
  <si>
    <t>Typ tarifu</t>
  </si>
  <si>
    <t>Hradec1</t>
  </si>
  <si>
    <t>Koeficient pro výpočet klouzavé kapacity:</t>
  </si>
  <si>
    <t>Den s maximální
spotřebou (dd.mm.rrrr.)</t>
  </si>
  <si>
    <t xml:space="preserve">
Je-li hodnota denní rezervované kapacity na dobu neurčitou vyšší než 120 % maximálního 
dosaženého odběru v předchozím 2-letém období nebo nejsou známy odběry plynu za předchozí 2-leté období
- prokázali jste oprávněnost požadavku?
</t>
  </si>
  <si>
    <t>Texty pro jednotlivé typy</t>
  </si>
  <si>
    <t>Pokud dojde k překročení denní rezervované distribuční kapacity ve zkušebním provozu, je pro výpočet měsíční platby za denní rezervovanou distribuční kapacitu ve zkušebním provozu použita cena CK, pro jejíž stanovení se za k považuje skutečně dosažený maximální denní odběr v odběrném místě v měsíci, ve kterém k překročení došlo.</t>
  </si>
  <si>
    <t>Výrobna plynu</t>
  </si>
  <si>
    <t xml:space="preserve"> Spotřeba v nm3 (měření C)</t>
  </si>
  <si>
    <t>Období od</t>
  </si>
  <si>
    <t>Období do</t>
  </si>
  <si>
    <t>poslední den</t>
  </si>
  <si>
    <t xml:space="preserve">první den </t>
  </si>
  <si>
    <t>Období od/do vyhodn.měsíce</t>
  </si>
  <si>
    <t>měsíc</t>
  </si>
  <si>
    <t>den měsíce</t>
  </si>
  <si>
    <t>dny vyhodn. měsíce</t>
  </si>
  <si>
    <t>od</t>
  </si>
  <si>
    <t>do</t>
  </si>
  <si>
    <t>Součet spotřeb aktuálního roku od 1.1. do konce předcházejícího měsíce pro určení nadlimitní ceny</t>
  </si>
  <si>
    <t>Výše přepočtené spotřeby v m³ ve dni s max.spotřebou resp.dni překročení</t>
  </si>
  <si>
    <t>Při výběru typu tarifu "Zkušební provoz" vyplňte v řádku 40 spotřebu do pole "Výše přepočtené spotřeby v m³ ve dni s max.spotřebou resp.dni překročení"</t>
  </si>
  <si>
    <t>kontrola zadání období do</t>
  </si>
  <si>
    <t xml:space="preserve">Nadlimitní spotřeba </t>
  </si>
  <si>
    <t>nadlimit ANO/NE</t>
  </si>
  <si>
    <t>final rozmezí</t>
  </si>
  <si>
    <t>přerušitelné kapacity</t>
  </si>
  <si>
    <t>Denní rezerovaná přerušitelná distribuční kapacita na dobu neurčitou (pro měření typu A a B)</t>
  </si>
  <si>
    <t>Denní rezervovaná přerušitelná měsíční distribuční kapacita 1</t>
  </si>
  <si>
    <t>přerušitelná roční</t>
  </si>
  <si>
    <t>přerušitelná měsíční A</t>
  </si>
  <si>
    <t>kapacita</t>
  </si>
  <si>
    <t>Denní rezervovaná přerušitelná měsíční distribuční kapacita 2</t>
  </si>
  <si>
    <t>Denní rezervovaná přerušitelná měsíční distribuční kapacita 3</t>
  </si>
  <si>
    <t>Denní rezervovaná přerušitelná měsíční distribuční kapacita 4</t>
  </si>
  <si>
    <t>Denní rezervovaná přerušitelná měsíční distribuční kapacita 5</t>
  </si>
  <si>
    <t>celkem v WMh</t>
  </si>
  <si>
    <t>Rozmezí součtu kapacit - pro vzorec výpočtu CENY kapacit</t>
  </si>
  <si>
    <t>upravit aby jednotlivé vzorce odkazovali pouze na buňky a nebyly koeficienty schované v nich</t>
  </si>
  <si>
    <t>spalné teplo</t>
  </si>
  <si>
    <t>koeficient nadlimitní vzorce kapacity</t>
  </si>
  <si>
    <t>první koeficient nadlimitní vzorce kapacity</t>
  </si>
  <si>
    <t>druhý koeficient nadlimitní vzorce kapacity</t>
  </si>
  <si>
    <t>Koeficienty Kapacity</t>
  </si>
  <si>
    <t>Kapacita NADLIMIT</t>
  </si>
  <si>
    <t>X</t>
  </si>
  <si>
    <t>měsíční zkopírovat dohromady, KK taky</t>
  </si>
  <si>
    <t>KDYŽ(KDYŽ(($N$26&lt;$F$7);E83-$F$7+1;E83-$N$26+1)&lt;=0;"kapacita zadána pro jiné období";KDYŽ(($N$26&lt;$F$7);E83-$F$7+1;E83-$N$26+1))</t>
  </si>
  <si>
    <t>KDYŽ(KDYŽ(($N$26&lt;$F$7);E83-$F$7+1;E83-$N$26+1)&lt;=0;"opravte období kapacity";KDYŽ(($N$26&lt;$F$7);E83-$F$7+1;E83-$N$26+1))</t>
  </si>
  <si>
    <r>
      <t>m</t>
    </r>
    <r>
      <rPr>
        <b/>
        <vertAlign val="superscript"/>
        <sz val="10"/>
        <color rgb="FF0070C0"/>
        <rFont val="Arial"/>
        <family val="2"/>
        <charset val="238"/>
      </rPr>
      <t>3</t>
    </r>
  </si>
  <si>
    <t>Cena kalkulačka</t>
  </si>
  <si>
    <t>Kč kalkulačka</t>
  </si>
  <si>
    <t>Vypočteno</t>
  </si>
  <si>
    <t>CR 14.1.10.</t>
  </si>
  <si>
    <t>roční cena za denní rezervovanou pevnou distribuční kapacitu stanovená podle
vzorce v bodě (14.1.2.1) písmene a) nebo (14.1.2.2) písmene a)</t>
  </si>
  <si>
    <t>Platbu za překročení podle bodu (13.6) platí provozovatel distribuční soustavy, pokud denní rezervovaná pevná distribuční kapacita v předávacím místě mezi DS je nižší než nejvyšší skutečně dosažený denní odběr plynu v období od 1. října 2021 do 30. září 2024.</t>
  </si>
  <si>
    <t>Cena popl. z nařízení vlády č.392 392 ze dne 14. prosince 2015 úprava od 1.9.2025</t>
  </si>
  <si>
    <r>
      <t xml:space="preserve">CK=(((a+b*ln </t>
    </r>
    <r>
      <rPr>
        <sz val="11"/>
        <color rgb="FFFF0000"/>
        <rFont val="Calibri"/>
        <family val="2"/>
        <charset val="238"/>
        <scheme val="minor"/>
      </rPr>
      <t>200 000</t>
    </r>
    <r>
      <rPr>
        <sz val="11"/>
        <rFont val="Calibri"/>
        <family val="2"/>
        <scheme val="minor"/>
      </rPr>
      <t>)*200 000)+((CPPZ-n*10,69*</t>
    </r>
    <r>
      <rPr>
        <sz val="11"/>
        <color indexed="10"/>
        <rFont val="Calibri"/>
        <family val="2"/>
        <charset val="238"/>
      </rPr>
      <t>1,6)</t>
    </r>
    <r>
      <rPr>
        <sz val="11"/>
        <rFont val="Calibri"/>
        <family val="2"/>
      </rPr>
      <t>)/1000*(k-200 000)))/k*1000</t>
    </r>
  </si>
  <si>
    <r>
      <t xml:space="preserve">CK=(((a+b*ln </t>
    </r>
    <r>
      <rPr>
        <sz val="11"/>
        <color rgb="FFFF0000"/>
        <rFont val="Calibri"/>
        <family val="2"/>
        <charset val="238"/>
        <scheme val="minor"/>
      </rPr>
      <t>200 000</t>
    </r>
    <r>
      <rPr>
        <sz val="11"/>
        <color theme="1"/>
        <rFont val="Calibri"/>
        <family val="2"/>
        <charset val="238"/>
        <scheme val="minor"/>
      </rPr>
      <t>)*200 000)+((CPPZ-n*10,69*</t>
    </r>
    <r>
      <rPr>
        <sz val="11"/>
        <color indexed="10"/>
        <rFont val="Calibri"/>
        <family val="2"/>
        <charset val="238"/>
      </rPr>
      <t>1,6</t>
    </r>
    <r>
      <rPr>
        <sz val="11"/>
        <color theme="1"/>
        <rFont val="Calibri"/>
        <family val="2"/>
        <charset val="238"/>
        <scheme val="minor"/>
      </rPr>
      <t>)/1000</t>
    </r>
    <r>
      <rPr>
        <b/>
        <sz val="11"/>
        <color indexed="8"/>
        <rFont val="Calibri"/>
        <family val="2"/>
        <charset val="238"/>
      </rPr>
      <t>*400 000)+((CPPZ-n*10,69*</t>
    </r>
    <r>
      <rPr>
        <sz val="11"/>
        <color rgb="FFFF0000"/>
        <rFont val="Calibri"/>
        <family val="2"/>
        <charset val="238"/>
      </rPr>
      <t>1,43</t>
    </r>
    <r>
      <rPr>
        <b/>
        <sz val="11"/>
        <color indexed="8"/>
        <rFont val="Calibri"/>
        <family val="2"/>
        <charset val="238"/>
      </rPr>
      <t>)/1000*(k-600 000)))/k</t>
    </r>
    <r>
      <rPr>
        <sz val="11"/>
        <color theme="1"/>
        <rFont val="Calibri"/>
        <family val="2"/>
        <charset val="238"/>
        <scheme val="minor"/>
      </rPr>
      <t>*1000</t>
    </r>
  </si>
  <si>
    <r>
      <t xml:space="preserve">CK=(((a+b*ln </t>
    </r>
    <r>
      <rPr>
        <sz val="11"/>
        <color rgb="FFFF0000"/>
        <rFont val="Calibri"/>
        <family val="2"/>
        <charset val="238"/>
        <scheme val="minor"/>
      </rPr>
      <t>200 000</t>
    </r>
    <r>
      <rPr>
        <sz val="11"/>
        <rFont val="Calibri"/>
        <family val="2"/>
        <scheme val="minor"/>
      </rPr>
      <t>)*200 000)+((CPPZ-n*10,69*</t>
    </r>
    <r>
      <rPr>
        <sz val="11"/>
        <color rgb="FFFF0000"/>
        <rFont val="Calibri"/>
        <family val="2"/>
        <charset val="238"/>
        <scheme val="minor"/>
      </rPr>
      <t>2,48</t>
    </r>
    <r>
      <rPr>
        <sz val="11"/>
        <rFont val="Calibri"/>
        <family val="2"/>
      </rPr>
      <t>)/1000*(k-200 000)))/k*1000</t>
    </r>
  </si>
  <si>
    <r>
      <t xml:space="preserve">CK=(((a+b*ln </t>
    </r>
    <r>
      <rPr>
        <sz val="11"/>
        <color rgb="FFFF0000"/>
        <rFont val="Calibri"/>
        <family val="2"/>
        <charset val="238"/>
        <scheme val="minor"/>
      </rPr>
      <t>200 000</t>
    </r>
    <r>
      <rPr>
        <sz val="11"/>
        <color theme="1"/>
        <rFont val="Calibri"/>
        <family val="2"/>
        <charset val="238"/>
        <scheme val="minor"/>
      </rPr>
      <t>)*200 000)+((CPPZ-n*10,69*</t>
    </r>
    <r>
      <rPr>
        <sz val="11"/>
        <color rgb="FFFF0000"/>
        <rFont val="Calibri"/>
        <family val="2"/>
        <charset val="238"/>
        <scheme val="minor"/>
      </rPr>
      <t>2,48</t>
    </r>
    <r>
      <rPr>
        <sz val="11"/>
        <color theme="1"/>
        <rFont val="Calibri"/>
        <family val="2"/>
        <charset val="238"/>
        <scheme val="minor"/>
      </rPr>
      <t>)/1000*400 000)+((CPPZ-n*10,69*</t>
    </r>
    <r>
      <rPr>
        <sz val="11"/>
        <color indexed="10"/>
        <rFont val="Calibri"/>
        <family val="2"/>
        <charset val="238"/>
      </rPr>
      <t>2,08</t>
    </r>
    <r>
      <rPr>
        <sz val="11"/>
        <color theme="1"/>
        <rFont val="Calibri"/>
        <family val="2"/>
        <charset val="238"/>
        <scheme val="minor"/>
      </rPr>
      <t>)/1000*(k-600 000)))/k*1000</t>
    </r>
  </si>
  <si>
    <t>Kalkulačka ceny VOSO za distribuci pro rok 2026 dle CR ERU - běžný tarif, CNG VOSO, Zkušební provoz, Předávací místo mezi DS (LDS,RDS), Výrobna plynu</t>
  </si>
  <si>
    <t>Místní síť do 200 000</t>
  </si>
  <si>
    <t>CK = (a + b × ln k) × 1000</t>
  </si>
  <si>
    <t>Dálkovod do 200 000</t>
  </si>
  <si>
    <r>
      <t>CK = (((a + b x ln 200 000 ) x 200 000) + (C</t>
    </r>
    <r>
      <rPr>
        <vertAlign val="subscript"/>
        <sz val="10"/>
        <rFont val="Open Sans"/>
        <family val="2"/>
      </rPr>
      <t>PPZ -n</t>
    </r>
    <r>
      <rPr>
        <sz val="10"/>
        <rFont val="Open Sans"/>
        <family val="2"/>
      </rPr>
      <t> x 10,69 x 2,48) /1000 x 400 000 + ((C</t>
    </r>
    <r>
      <rPr>
        <vertAlign val="subscript"/>
        <sz val="10"/>
        <rFont val="Open Sans"/>
        <family val="2"/>
      </rPr>
      <t>PPZ -n</t>
    </r>
    <r>
      <rPr>
        <sz val="10"/>
        <rFont val="Open Sans"/>
        <family val="2"/>
      </rPr>
      <t> x 10,69 x 2,08) /1000 x (k - 600 000))) /k x 1000</t>
    </r>
  </si>
  <si>
    <r>
      <t>CK = (((a + b x ln 200 000 ) x 200 000) + ((C</t>
    </r>
    <r>
      <rPr>
        <vertAlign val="subscript"/>
        <sz val="10"/>
        <rFont val="Open Sans"/>
        <family val="2"/>
      </rPr>
      <t>PPZ -n</t>
    </r>
    <r>
      <rPr>
        <sz val="10"/>
        <rFont val="Open Sans"/>
        <family val="2"/>
      </rPr>
      <t> x 10,69 x 2,48) /1000 x (k - 200 000))) /k x 1000 ,</t>
    </r>
  </si>
  <si>
    <r>
      <t>CK = (((a + b x ln 200 000 ) x 200 000) + (C</t>
    </r>
    <r>
      <rPr>
        <vertAlign val="subscript"/>
        <sz val="10"/>
        <rFont val="Open Sans"/>
        <family val="2"/>
      </rPr>
      <t>PPZ -n</t>
    </r>
    <r>
      <rPr>
        <sz val="10"/>
        <rFont val="Open Sans"/>
        <family val="2"/>
      </rPr>
      <t> x 10,69 x 1,6) /1000 x 400 000 + ((C</t>
    </r>
    <r>
      <rPr>
        <vertAlign val="subscript"/>
        <sz val="10"/>
        <rFont val="Open Sans"/>
        <family val="2"/>
      </rPr>
      <t>PPZ -n</t>
    </r>
    <r>
      <rPr>
        <sz val="10"/>
        <rFont val="Open Sans"/>
        <family val="2"/>
      </rPr>
      <t> x 10,69 x 1,43) /1000 x (k - 600 000))) /k x 1000</t>
    </r>
  </si>
  <si>
    <r>
      <t>CK = (((a + b x ln 200 000 ) x 200 000) + ((C</t>
    </r>
    <r>
      <rPr>
        <vertAlign val="subscript"/>
        <sz val="10"/>
        <rFont val="Open Sans"/>
        <family val="2"/>
      </rPr>
      <t>PPZ -n</t>
    </r>
    <r>
      <rPr>
        <sz val="10"/>
        <rFont val="Open Sans"/>
        <family val="2"/>
      </rPr>
      <t> x 10,69 x 1,6) /1000 x (k - 200 000))) /k x 1000 ,</t>
    </r>
  </si>
  <si>
    <t>Místní síť nad 200 000</t>
  </si>
  <si>
    <t>Dálkovod nad 200 000</t>
  </si>
  <si>
    <t>Vypočtená cena za distribuci plynu dle zadaných hodnot kapacit a komodity platí pro období od 1. 1. 2026 do 31. 12. 2026.</t>
  </si>
  <si>
    <t>Výpočet měsíční platby za denní přidělenou pevnou distribuční kapacitu dle CR 13.1.14.2</t>
  </si>
  <si>
    <t xml:space="preserve">Kalkulačka ceny VOSO za distribuci pro rok 2026 dle CR ERU - jednosložkový tarif dle bodu 13.1.10 </t>
  </si>
  <si>
    <r>
      <t>m</t>
    </r>
    <r>
      <rPr>
        <b/>
        <vertAlign val="superscript"/>
        <sz val="10"/>
        <rFont val="Arial"/>
        <family val="2"/>
        <charset val="238"/>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</si>
</sst>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_K_č_-;\-* #,##0.00\ _K_č_-;_-* &quot;-&quot;??\ _K_č_-;_-@_-"/>
    <numFmt numFmtId="165" formatCode="0.0000"/>
    <numFmt numFmtId="166" formatCode="0.00000"/>
    <numFmt numFmtId="167" formatCode="#,##0.00000"/>
    <numFmt numFmtId="168" formatCode="_-* #,##0.00000\ _K_č_-;\-* #,##0.00000\ _K_č_-;_-* &quot;-&quot;?????\ _K_č_-;_-@_-"/>
    <numFmt numFmtId="169" formatCode="#,##0.000"/>
    <numFmt numFmtId="170" formatCode="0.0"/>
    <numFmt numFmtId="171" formatCode="0.000"/>
    <numFmt numFmtId="172" formatCode="0.0000%"/>
    <numFmt numFmtId="173" formatCode="[$-405]mmmm\ yy;@"/>
    <numFmt numFmtId="174" formatCode="_-* #,##0_-;\-* #,##0_-;_-* &quot;-&quot;??_-;_-@_-"/>
    <numFmt numFmtId="175" formatCode="_-* #,##0.00000\ _K_č_-;\-* #,##0.00000\ _K_č_-;_-* &quot;-&quot;??\ _K_č_-;_-@_-"/>
    <numFmt numFmtId="176" formatCode="0.00000%"/>
  </numFmts>
  <fonts count="102" x14ac:knownFonts="1">
    <font>
      <sz val="11"/>
      <color theme="1"/>
      <name val="Calibri"/>
      <family val="2"/>
      <charset val="238"/>
      <scheme val="minor"/>
    </font>
    <font>
      <b/>
      <sz val="11"/>
      <color indexed="8"/>
      <name val="Calibri"/>
      <family val="2"/>
      <charset val="238"/>
    </font>
    <font>
      <sz val="10"/>
      <color indexed="8"/>
      <name val="Arial"/>
      <family val="2"/>
      <charset val="238"/>
    </font>
    <font>
      <b/>
      <vertAlign val="superscript"/>
      <sz val="10"/>
      <color indexed="8"/>
      <name val="Arial"/>
      <family val="2"/>
      <charset val="238"/>
    </font>
    <font>
      <b/>
      <sz val="10"/>
      <color indexed="8"/>
      <name val="Arial"/>
      <family val="2"/>
      <charset val="238"/>
    </font>
    <font>
      <b/>
      <sz val="16"/>
      <name val="Arial"/>
      <family val="2"/>
      <charset val="238"/>
    </font>
    <font>
      <sz val="11"/>
      <name val="Arial"/>
      <family val="2"/>
      <charset val="238"/>
    </font>
    <font>
      <sz val="11"/>
      <color indexed="10"/>
      <name val="Calibri"/>
      <family val="2"/>
      <charset val="238"/>
    </font>
    <font>
      <sz val="10"/>
      <name val="Arial"/>
      <family val="2"/>
      <charset val="238"/>
    </font>
    <font>
      <sz val="11"/>
      <color indexed="40"/>
      <name val="Calibri"/>
      <family val="2"/>
      <charset val="238"/>
    </font>
    <font>
      <sz val="11"/>
      <name val="Calibri"/>
      <family val="2"/>
    </font>
    <font>
      <sz val="9"/>
      <color indexed="81"/>
      <name val="Tahoma"/>
      <family val="2"/>
      <charset val="238"/>
    </font>
    <font>
      <b/>
      <sz val="9"/>
      <color indexed="81"/>
      <name val="Tahoma"/>
      <family val="2"/>
      <charset val="238"/>
    </font>
    <font>
      <b/>
      <sz val="8"/>
      <color indexed="81"/>
      <name val="Tahoma"/>
      <family val="2"/>
      <charset val="238"/>
    </font>
    <font>
      <sz val="8"/>
      <color indexed="81"/>
      <name val="Tahoma"/>
      <family val="2"/>
      <charset val="238"/>
    </font>
    <font>
      <b/>
      <i/>
      <sz val="9"/>
      <color indexed="81"/>
      <name val="Tahoma"/>
      <family val="2"/>
      <charset val="238"/>
    </font>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16"/>
      <color theme="1"/>
      <name val="Arial"/>
      <family val="2"/>
      <charset val="238"/>
    </font>
    <font>
      <sz val="11"/>
      <color theme="1"/>
      <name val="Arial"/>
      <family val="2"/>
      <charset val="238"/>
    </font>
    <font>
      <b/>
      <sz val="11"/>
      <color theme="1"/>
      <name val="Arial"/>
      <family val="2"/>
      <charset val="238"/>
    </font>
    <font>
      <b/>
      <sz val="11"/>
      <color theme="0"/>
      <name val="Arial"/>
      <family val="2"/>
      <charset val="238"/>
    </font>
    <font>
      <sz val="11"/>
      <color theme="0"/>
      <name val="Arial"/>
      <family val="2"/>
      <charset val="238"/>
    </font>
    <font>
      <sz val="10"/>
      <color theme="1"/>
      <name val="Arial"/>
      <family val="2"/>
      <charset val="238"/>
    </font>
    <font>
      <b/>
      <sz val="10"/>
      <color theme="1"/>
      <name val="Arial"/>
      <family val="2"/>
      <charset val="238"/>
    </font>
    <font>
      <b/>
      <sz val="16"/>
      <color theme="0"/>
      <name val="Arial"/>
      <family val="2"/>
      <charset val="238"/>
    </font>
    <font>
      <b/>
      <sz val="11"/>
      <color rgb="FF7030A0"/>
      <name val="Calibri"/>
      <family val="2"/>
      <charset val="238"/>
      <scheme val="minor"/>
    </font>
    <font>
      <sz val="11"/>
      <color theme="0" tint="-0.34998626667073579"/>
      <name val="Calibri"/>
      <family val="2"/>
      <charset val="238"/>
      <scheme val="minor"/>
    </font>
    <font>
      <sz val="12"/>
      <color rgb="FF00B0F0"/>
      <name val="Calibri"/>
      <family val="2"/>
      <charset val="238"/>
      <scheme val="minor"/>
    </font>
    <font>
      <sz val="11"/>
      <color theme="0" tint="-0.249977111117893"/>
      <name val="Calibri"/>
      <family val="2"/>
      <charset val="238"/>
      <scheme val="minor"/>
    </font>
    <font>
      <sz val="12"/>
      <color theme="1"/>
      <name val="Calibri"/>
      <family val="2"/>
      <charset val="238"/>
      <scheme val="minor"/>
    </font>
    <font>
      <b/>
      <sz val="12"/>
      <color theme="1"/>
      <name val="Calibri"/>
      <family val="2"/>
      <charset val="238"/>
      <scheme val="minor"/>
    </font>
    <font>
      <sz val="12"/>
      <name val="Calibri"/>
      <family val="2"/>
      <charset val="238"/>
      <scheme val="minor"/>
    </font>
    <font>
      <b/>
      <sz val="10"/>
      <color theme="1"/>
      <name val="Calibri"/>
      <family val="2"/>
      <charset val="238"/>
      <scheme val="minor"/>
    </font>
    <font>
      <b/>
      <sz val="12"/>
      <color rgb="FF00B050"/>
      <name val="Calibri"/>
      <family val="2"/>
      <charset val="238"/>
      <scheme val="minor"/>
    </font>
    <font>
      <sz val="12"/>
      <color rgb="FF00B050"/>
      <name val="Calibri"/>
      <family val="2"/>
      <charset val="238"/>
      <scheme val="minor"/>
    </font>
    <font>
      <sz val="11"/>
      <color theme="0" tint="-0.499984740745262"/>
      <name val="Calibri"/>
      <family val="2"/>
      <charset val="238"/>
      <scheme val="minor"/>
    </font>
    <font>
      <b/>
      <sz val="11"/>
      <color theme="0" tint="-0.499984740745262"/>
      <name val="Calibri"/>
      <family val="2"/>
      <charset val="238"/>
      <scheme val="minor"/>
    </font>
    <font>
      <sz val="10"/>
      <color theme="1"/>
      <name val="Times New Roman"/>
      <family val="1"/>
      <charset val="238"/>
    </font>
    <font>
      <sz val="11"/>
      <color rgb="FF00B0F0"/>
      <name val="Calibri"/>
      <family val="2"/>
      <charset val="238"/>
      <scheme val="minor"/>
    </font>
    <font>
      <b/>
      <sz val="12"/>
      <name val="Calibri"/>
      <family val="2"/>
      <charset val="238"/>
      <scheme val="minor"/>
    </font>
    <font>
      <sz val="11"/>
      <color rgb="FF00B050"/>
      <name val="Calibri"/>
      <family val="2"/>
      <charset val="238"/>
      <scheme val="minor"/>
    </font>
    <font>
      <b/>
      <sz val="11"/>
      <name val="Calibri"/>
      <family val="2"/>
      <charset val="238"/>
      <scheme val="minor"/>
    </font>
    <font>
      <sz val="11"/>
      <name val="Calibri"/>
      <family val="2"/>
      <scheme val="minor"/>
    </font>
    <font>
      <sz val="10"/>
      <color theme="1"/>
      <name val="Calibri"/>
      <family val="2"/>
      <charset val="238"/>
      <scheme val="minor"/>
    </font>
    <font>
      <sz val="9"/>
      <color theme="1"/>
      <name val="Calibri"/>
      <family val="2"/>
      <charset val="238"/>
      <scheme val="minor"/>
    </font>
    <font>
      <sz val="9"/>
      <color theme="1"/>
      <name val="Arial"/>
      <family val="2"/>
      <charset val="238"/>
    </font>
    <font>
      <b/>
      <sz val="24"/>
      <color theme="1"/>
      <name val="Calibri"/>
      <family val="2"/>
      <charset val="238"/>
      <scheme val="minor"/>
    </font>
    <font>
      <b/>
      <sz val="16"/>
      <color theme="1"/>
      <name val="Calibri"/>
      <family val="2"/>
      <charset val="238"/>
      <scheme val="minor"/>
    </font>
    <font>
      <sz val="11"/>
      <color theme="0" tint="-0.14999847407452621"/>
      <name val="Calibri"/>
      <family val="2"/>
      <charset val="238"/>
      <scheme val="minor"/>
    </font>
    <font>
      <sz val="36"/>
      <color theme="1"/>
      <name val="Calibri"/>
      <family val="2"/>
      <charset val="238"/>
      <scheme val="minor"/>
    </font>
    <font>
      <sz val="9"/>
      <color rgb="FFFF0000"/>
      <name val="Arial"/>
      <family val="2"/>
      <charset val="238"/>
    </font>
    <font>
      <sz val="11"/>
      <color theme="1"/>
      <name val="Calibri"/>
      <family val="2"/>
      <charset val="238"/>
    </font>
    <font>
      <b/>
      <sz val="11"/>
      <color theme="1"/>
      <name val="Segoe UI"/>
      <family val="2"/>
      <charset val="238"/>
    </font>
    <font>
      <sz val="11"/>
      <color theme="1"/>
      <name val="Segoe UI"/>
      <family val="2"/>
      <charset val="238"/>
    </font>
    <font>
      <sz val="11"/>
      <color rgb="FF7030A0"/>
      <name val="Calibri"/>
      <family val="2"/>
      <charset val="238"/>
      <scheme val="minor"/>
    </font>
    <font>
      <sz val="9"/>
      <color theme="0" tint="-0.34998626667073579"/>
      <name val="Calibri"/>
      <family val="2"/>
      <charset val="238"/>
      <scheme val="minor"/>
    </font>
    <font>
      <b/>
      <sz val="9"/>
      <color indexed="8"/>
      <name val="Arial"/>
      <family val="2"/>
      <charset val="238"/>
    </font>
    <font>
      <sz val="9"/>
      <color indexed="8"/>
      <name val="Arial"/>
      <family val="2"/>
      <charset val="238"/>
    </font>
    <font>
      <sz val="9"/>
      <color rgb="FF00B050"/>
      <name val="Arial"/>
      <family val="2"/>
      <charset val="238"/>
    </font>
    <font>
      <b/>
      <sz val="9"/>
      <color rgb="FFFF0000"/>
      <name val="Arial"/>
      <family val="2"/>
      <charset val="238"/>
    </font>
    <font>
      <u/>
      <sz val="11"/>
      <color theme="1"/>
      <name val="Calibri"/>
      <family val="2"/>
      <charset val="238"/>
      <scheme val="minor"/>
    </font>
    <font>
      <b/>
      <sz val="11"/>
      <color rgb="FFFF0000"/>
      <name val="Calibri"/>
      <family val="2"/>
      <charset val="238"/>
    </font>
    <font>
      <sz val="11"/>
      <color rgb="FF000000"/>
      <name val="Calibri"/>
      <family val="2"/>
      <charset val="238"/>
    </font>
    <font>
      <sz val="7"/>
      <color rgb="FF000000"/>
      <name val="Times New Roman"/>
      <family val="1"/>
      <charset val="238"/>
    </font>
    <font>
      <sz val="11"/>
      <color rgb="FFFF0000"/>
      <name val="Calibri"/>
      <family val="2"/>
      <charset val="238"/>
    </font>
    <font>
      <b/>
      <sz val="11"/>
      <color rgb="FF000000"/>
      <name val="Calibri"/>
      <family val="2"/>
      <charset val="238"/>
    </font>
    <font>
      <sz val="8"/>
      <color theme="0" tint="-0.34998626667073579"/>
      <name val="Calibri"/>
      <family val="2"/>
      <charset val="238"/>
      <scheme val="minor"/>
    </font>
    <font>
      <sz val="8"/>
      <name val="Calibri"/>
      <family val="2"/>
      <charset val="238"/>
    </font>
    <font>
      <b/>
      <sz val="14"/>
      <color rgb="FF00B0F0"/>
      <name val="Calibri"/>
      <family val="2"/>
      <charset val="238"/>
      <scheme val="minor"/>
    </font>
    <font>
      <sz val="11"/>
      <name val="Calibri"/>
      <family val="2"/>
      <charset val="238"/>
    </font>
    <font>
      <b/>
      <sz val="9"/>
      <color theme="1"/>
      <name val="Calibri"/>
      <family val="2"/>
      <charset val="238"/>
      <scheme val="minor"/>
    </font>
    <font>
      <b/>
      <sz val="10"/>
      <name val="Arial"/>
      <family val="2"/>
      <charset val="238"/>
    </font>
    <font>
      <sz val="11"/>
      <color indexed="8"/>
      <name val="Calibri"/>
      <family val="2"/>
      <charset val="238"/>
      <scheme val="minor"/>
    </font>
    <font>
      <i/>
      <sz val="8"/>
      <color indexed="81"/>
      <name val="Tahoma"/>
      <family val="2"/>
      <charset val="238"/>
    </font>
    <font>
      <sz val="11"/>
      <color rgb="FFFF0000"/>
      <name val="Arial"/>
      <family val="2"/>
      <charset val="238"/>
    </font>
    <font>
      <sz val="8"/>
      <name val="Calibri"/>
      <family val="2"/>
      <charset val="238"/>
      <scheme val="minor"/>
    </font>
    <font>
      <sz val="8"/>
      <color theme="1"/>
      <name val="Arial"/>
      <family val="2"/>
      <charset val="238"/>
    </font>
    <font>
      <sz val="11"/>
      <color rgb="FF00B050"/>
      <name val="Arial"/>
      <family val="2"/>
      <charset val="238"/>
    </font>
    <font>
      <sz val="20"/>
      <color theme="1"/>
      <name val="Calibri"/>
      <family val="2"/>
      <charset val="238"/>
      <scheme val="minor"/>
    </font>
    <font>
      <sz val="10"/>
      <color rgb="FFFF0000"/>
      <name val="Arial"/>
      <family val="2"/>
      <charset val="238"/>
    </font>
    <font>
      <b/>
      <sz val="11"/>
      <name val="Arial"/>
      <family val="2"/>
      <charset val="238"/>
    </font>
    <font>
      <sz val="9"/>
      <name val="Arial"/>
      <family val="2"/>
      <charset val="238"/>
    </font>
    <font>
      <b/>
      <sz val="14"/>
      <color rgb="FF0070C0"/>
      <name val="Arial"/>
      <family val="2"/>
      <charset val="238"/>
    </font>
    <font>
      <sz val="9"/>
      <color theme="0"/>
      <name val="Arial"/>
      <family val="2"/>
      <charset val="238"/>
    </font>
    <font>
      <sz val="11"/>
      <color rgb="FFF8F8F8"/>
      <name val="Arial"/>
      <family val="2"/>
      <charset val="238"/>
    </font>
    <font>
      <sz val="10"/>
      <color rgb="FF000000"/>
      <name val="Arial"/>
      <family val="2"/>
      <charset val="238"/>
    </font>
    <font>
      <sz val="11"/>
      <color rgb="FF0070C0"/>
      <name val="Calibri"/>
      <family val="2"/>
      <charset val="238"/>
      <scheme val="minor"/>
    </font>
    <font>
      <sz val="10"/>
      <color rgb="FF0070C0"/>
      <name val="Arial"/>
      <family val="2"/>
      <charset val="238"/>
    </font>
    <font>
      <b/>
      <sz val="10"/>
      <color rgb="FF0070C0"/>
      <name val="Arial"/>
      <family val="2"/>
      <charset val="238"/>
    </font>
    <font>
      <b/>
      <vertAlign val="superscript"/>
      <sz val="10"/>
      <color rgb="FF0070C0"/>
      <name val="Arial"/>
      <family val="2"/>
      <charset val="238"/>
    </font>
    <font>
      <sz val="11"/>
      <color rgb="FF0070C0"/>
      <name val="Arial"/>
      <family val="2"/>
      <charset val="238"/>
    </font>
    <font>
      <b/>
      <sz val="11"/>
      <color rgb="FF0070C0"/>
      <name val="Calibri"/>
      <family val="2"/>
      <charset val="238"/>
      <scheme val="minor"/>
    </font>
    <font>
      <b/>
      <sz val="11"/>
      <color rgb="FF0070C0"/>
      <name val="Arial"/>
      <family val="2"/>
      <charset val="238"/>
    </font>
    <font>
      <sz val="12"/>
      <color rgb="FFFFC000"/>
      <name val="Calibri"/>
      <family val="2"/>
      <charset val="238"/>
      <scheme val="minor"/>
    </font>
    <font>
      <sz val="8"/>
      <color rgb="FF000000"/>
      <name val="Tahoma"/>
      <family val="2"/>
      <charset val="238"/>
    </font>
    <font>
      <sz val="12"/>
      <color rgb="FFFF0000"/>
      <name val="Calibri"/>
      <family val="2"/>
      <charset val="238"/>
      <scheme val="minor"/>
    </font>
    <font>
      <sz val="10"/>
      <name val="Open Sans"/>
      <family val="2"/>
    </font>
    <font>
      <vertAlign val="subscript"/>
      <sz val="10"/>
      <name val="Open Sans"/>
      <family val="2"/>
    </font>
    <font>
      <b/>
      <vertAlign val="superscript"/>
      <sz val="10"/>
      <name val="Arial"/>
      <family val="2"/>
      <charset val="238"/>
    </font>
  </fonts>
  <fills count="2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rgb="FFB0FACE"/>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B7DEE8"/>
        <bgColor rgb="FF000000"/>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rgb="FF000000"/>
      </patternFill>
    </fill>
    <fill>
      <patternFill patternType="solid">
        <fgColor rgb="FFFFC000"/>
        <bgColor indexed="64"/>
      </patternFill>
    </fill>
    <fill>
      <patternFill patternType="solid">
        <fgColor rgb="FFE37D90"/>
        <bgColor indexed="64"/>
      </patternFill>
    </fill>
    <fill>
      <patternFill patternType="solid">
        <fgColor theme="0" tint="-0.249977111117893"/>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9">
    <xf numFmtId="0" fontId="0" fillId="0" borderId="0"/>
    <xf numFmtId="164" fontId="16" fillId="0" borderId="0" applyFont="0" applyFill="0" applyBorder="0" applyAlignment="0" applyProtection="0"/>
    <xf numFmtId="0" fontId="16" fillId="0" borderId="0"/>
    <xf numFmtId="173"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cellStyleXfs>
  <cellXfs count="776">
    <xf numFmtId="0" fontId="0" fillId="0" borderId="0" xfId="0"/>
    <xf numFmtId="0" fontId="17" fillId="0" borderId="0" xfId="0" applyFont="1"/>
    <xf numFmtId="0" fontId="20" fillId="2" borderId="0" xfId="0" applyFont="1" applyFill="1"/>
    <xf numFmtId="0" fontId="21" fillId="2" borderId="0" xfId="0" applyFont="1" applyFill="1"/>
    <xf numFmtId="0" fontId="22" fillId="2" borderId="0" xfId="0" applyFont="1" applyFill="1"/>
    <xf numFmtId="0" fontId="21" fillId="0" borderId="0" xfId="0" applyFont="1"/>
    <xf numFmtId="4" fontId="21" fillId="2" borderId="0" xfId="0" applyNumberFormat="1" applyFont="1" applyFill="1"/>
    <xf numFmtId="0" fontId="21" fillId="2" borderId="0" xfId="0" applyFont="1" applyFill="1" applyAlignment="1">
      <alignment horizontal="left"/>
    </xf>
    <xf numFmtId="0" fontId="21" fillId="2" borderId="0" xfId="0" applyFont="1" applyFill="1" applyAlignment="1">
      <alignment wrapText="1"/>
    </xf>
    <xf numFmtId="4" fontId="23" fillId="2" borderId="0" xfId="0" applyNumberFormat="1" applyFont="1" applyFill="1" applyAlignment="1">
      <alignment horizontal="right" vertical="center"/>
    </xf>
    <xf numFmtId="14" fontId="21" fillId="2" borderId="0" xfId="0" applyNumberFormat="1" applyFont="1" applyFill="1" applyAlignment="1" applyProtection="1">
      <alignment vertical="center"/>
      <protection locked="0"/>
    </xf>
    <xf numFmtId="0" fontId="21" fillId="2" borderId="0" xfId="0" applyFont="1" applyFill="1" applyAlignment="1">
      <alignment vertical="center"/>
    </xf>
    <xf numFmtId="167" fontId="21" fillId="2" borderId="0" xfId="0" applyNumberFormat="1" applyFont="1" applyFill="1" applyAlignment="1">
      <alignment horizontal="right" vertical="center"/>
    </xf>
    <xf numFmtId="4" fontId="22" fillId="2" borderId="0" xfId="0" applyNumberFormat="1" applyFont="1" applyFill="1" applyAlignment="1">
      <alignment vertical="center"/>
    </xf>
    <xf numFmtId="4" fontId="23" fillId="2" borderId="0" xfId="0" applyNumberFormat="1" applyFont="1" applyFill="1" applyAlignment="1">
      <alignment vertical="center"/>
    </xf>
    <xf numFmtId="4" fontId="22" fillId="2" borderId="0" xfId="0" applyNumberFormat="1" applyFont="1" applyFill="1" applyAlignment="1">
      <alignment horizontal="right" vertical="center"/>
    </xf>
    <xf numFmtId="0" fontId="24" fillId="2" borderId="0" xfId="0" applyFont="1" applyFill="1"/>
    <xf numFmtId="4" fontId="22" fillId="2" borderId="0" xfId="0" applyNumberFormat="1" applyFont="1" applyFill="1"/>
    <xf numFmtId="4" fontId="22" fillId="2" borderId="0" xfId="0" applyNumberFormat="1" applyFont="1" applyFill="1" applyAlignment="1" applyProtection="1">
      <alignment vertical="center"/>
      <protection locked="0"/>
    </xf>
    <xf numFmtId="166" fontId="22" fillId="2" borderId="0" xfId="0" applyNumberFormat="1" applyFont="1" applyFill="1" applyAlignment="1">
      <alignment horizontal="left"/>
    </xf>
    <xf numFmtId="0" fontId="25" fillId="2" borderId="0" xfId="0" applyFont="1" applyFill="1" applyAlignment="1">
      <alignment horizontal="left" wrapText="1"/>
    </xf>
    <xf numFmtId="0" fontId="22" fillId="0" borderId="0" xfId="0" applyFont="1"/>
    <xf numFmtId="0" fontId="26" fillId="6" borderId="7" xfId="0" applyFont="1" applyFill="1" applyBorder="1" applyAlignment="1">
      <alignment horizontal="center"/>
    </xf>
    <xf numFmtId="0" fontId="26" fillId="6" borderId="22" xfId="0" applyFont="1" applyFill="1" applyBorder="1" applyAlignment="1">
      <alignment horizontal="center"/>
    </xf>
    <xf numFmtId="0" fontId="26" fillId="6" borderId="4" xfId="0" applyFont="1" applyFill="1" applyBorder="1" applyAlignment="1">
      <alignment horizontal="center"/>
    </xf>
    <xf numFmtId="0" fontId="26" fillId="6" borderId="25" xfId="0" applyFont="1" applyFill="1" applyBorder="1" applyAlignment="1">
      <alignment horizontal="center"/>
    </xf>
    <xf numFmtId="0" fontId="25" fillId="6" borderId="25" xfId="0" applyFont="1" applyFill="1" applyBorder="1"/>
    <xf numFmtId="168" fontId="25" fillId="6" borderId="25" xfId="0" applyNumberFormat="1" applyFont="1" applyFill="1" applyBorder="1" applyAlignment="1">
      <alignment horizontal="center" vertical="center"/>
    </xf>
    <xf numFmtId="164" fontId="26" fillId="6" borderId="26" xfId="0" applyNumberFormat="1" applyFont="1" applyFill="1" applyBorder="1" applyAlignment="1">
      <alignment horizontal="center" vertical="center"/>
    </xf>
    <xf numFmtId="0" fontId="26" fillId="6" borderId="25" xfId="0" applyFont="1" applyFill="1" applyBorder="1" applyAlignment="1">
      <alignment horizontal="center" vertical="center"/>
    </xf>
    <xf numFmtId="0" fontId="25" fillId="6" borderId="25" xfId="0" applyFont="1" applyFill="1" applyBorder="1" applyAlignment="1">
      <alignment vertical="center"/>
    </xf>
    <xf numFmtId="0" fontId="21" fillId="0" borderId="0" xfId="0" applyFont="1" applyAlignment="1">
      <alignment vertical="center"/>
    </xf>
    <xf numFmtId="49" fontId="5" fillId="2" borderId="0" xfId="0" applyNumberFormat="1" applyFont="1" applyFill="1" applyAlignment="1">
      <alignment horizontal="left"/>
    </xf>
    <xf numFmtId="4" fontId="25" fillId="2" borderId="4" xfId="1" applyNumberFormat="1" applyFont="1" applyFill="1" applyBorder="1" applyAlignment="1" applyProtection="1">
      <alignment horizontal="center" vertical="center"/>
      <protection locked="0"/>
    </xf>
    <xf numFmtId="0" fontId="16" fillId="0" borderId="0" xfId="2" applyProtection="1">
      <protection locked="0"/>
    </xf>
    <xf numFmtId="0" fontId="16" fillId="0" borderId="0" xfId="2"/>
    <xf numFmtId="0" fontId="18" fillId="0" borderId="0" xfId="2" applyFont="1"/>
    <xf numFmtId="0" fontId="28" fillId="0" borderId="0" xfId="4" applyFont="1"/>
    <xf numFmtId="0" fontId="29" fillId="0" borderId="0" xfId="4" applyFont="1"/>
    <xf numFmtId="0" fontId="30" fillId="0" borderId="0" xfId="2" applyFont="1"/>
    <xf numFmtId="0" fontId="19" fillId="0" borderId="0" xfId="4" applyFont="1"/>
    <xf numFmtId="0" fontId="31" fillId="0" borderId="0" xfId="4" applyFont="1"/>
    <xf numFmtId="4" fontId="16" fillId="0" borderId="0" xfId="2" applyNumberFormat="1"/>
    <xf numFmtId="0" fontId="19" fillId="0" borderId="0" xfId="4" applyFont="1" applyProtection="1">
      <protection locked="0"/>
    </xf>
    <xf numFmtId="0" fontId="17" fillId="0" borderId="31" xfId="2" applyFont="1" applyBorder="1" applyAlignment="1">
      <alignment wrapText="1"/>
    </xf>
    <xf numFmtId="0" fontId="16" fillId="0" borderId="4" xfId="2" applyBorder="1" applyAlignment="1">
      <alignment wrapText="1"/>
    </xf>
    <xf numFmtId="0" fontId="16" fillId="0" borderId="0" xfId="2" applyAlignment="1">
      <alignment wrapText="1"/>
    </xf>
    <xf numFmtId="0" fontId="16" fillId="0" borderId="0" xfId="2" applyAlignment="1" applyProtection="1">
      <alignment wrapText="1"/>
      <protection locked="0"/>
    </xf>
    <xf numFmtId="0" fontId="32" fillId="0" borderId="4" xfId="2" applyFont="1" applyBorder="1" applyAlignment="1">
      <alignment wrapText="1"/>
    </xf>
    <xf numFmtId="0" fontId="16" fillId="0" borderId="4" xfId="2" applyBorder="1" applyAlignment="1" applyProtection="1">
      <alignment wrapText="1"/>
      <protection locked="0"/>
    </xf>
    <xf numFmtId="4" fontId="16" fillId="0" borderId="4" xfId="2" applyNumberFormat="1" applyBorder="1" applyAlignment="1" applyProtection="1">
      <alignment wrapText="1"/>
      <protection locked="0"/>
    </xf>
    <xf numFmtId="0" fontId="33" fillId="3" borderId="14" xfId="2" applyFont="1" applyFill="1" applyBorder="1" applyAlignment="1">
      <alignment horizontal="center" wrapText="1"/>
    </xf>
    <xf numFmtId="0" fontId="32" fillId="0" borderId="0" xfId="2" applyFont="1" applyAlignment="1">
      <alignment wrapText="1"/>
    </xf>
    <xf numFmtId="4" fontId="16" fillId="0" borderId="0" xfId="2" applyNumberFormat="1" applyAlignment="1">
      <alignment horizontal="left"/>
    </xf>
    <xf numFmtId="0" fontId="32" fillId="0" borderId="4" xfId="0" applyFont="1" applyBorder="1" applyAlignment="1">
      <alignment wrapText="1"/>
    </xf>
    <xf numFmtId="0" fontId="17" fillId="7" borderId="0" xfId="2" applyFont="1" applyFill="1" applyAlignment="1" applyProtection="1">
      <alignment vertical="center" wrapText="1"/>
      <protection locked="0"/>
    </xf>
    <xf numFmtId="0" fontId="34" fillId="0" borderId="4" xfId="2" applyFont="1" applyBorder="1" applyAlignment="1">
      <alignment wrapText="1"/>
    </xf>
    <xf numFmtId="0" fontId="16" fillId="4" borderId="0" xfId="2" applyFill="1" applyAlignment="1" applyProtection="1">
      <alignment wrapText="1"/>
      <protection locked="0"/>
    </xf>
    <xf numFmtId="0" fontId="17" fillId="0" borderId="0" xfId="2" applyFont="1" applyAlignment="1">
      <alignment wrapText="1"/>
    </xf>
    <xf numFmtId="0" fontId="17" fillId="0" borderId="32" xfId="2" applyFont="1" applyBorder="1" applyAlignment="1">
      <alignment horizontal="center" vertical="center" wrapText="1"/>
    </xf>
    <xf numFmtId="0" fontId="17" fillId="0" borderId="30" xfId="2" applyFont="1" applyBorder="1" applyAlignment="1">
      <alignment horizontal="center" vertical="center" wrapText="1"/>
    </xf>
    <xf numFmtId="0" fontId="35" fillId="0" borderId="3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33" xfId="2" applyFont="1" applyBorder="1" applyAlignment="1">
      <alignment horizontal="center" vertical="center" wrapText="1"/>
    </xf>
    <xf numFmtId="0" fontId="17" fillId="0" borderId="34" xfId="2" applyFont="1" applyBorder="1" applyAlignment="1">
      <alignment horizontal="center" vertical="center" wrapText="1"/>
    </xf>
    <xf numFmtId="0" fontId="17" fillId="3" borderId="35" xfId="2" applyFont="1" applyFill="1" applyBorder="1" applyAlignment="1">
      <alignment horizontal="center" vertical="center" wrapText="1"/>
    </xf>
    <xf numFmtId="0" fontId="17" fillId="3" borderId="36" xfId="2" applyFont="1" applyFill="1" applyBorder="1" applyAlignment="1">
      <alignment horizontal="center" vertical="center" wrapText="1"/>
    </xf>
    <xf numFmtId="0" fontId="17" fillId="8" borderId="8" xfId="2" applyFont="1" applyFill="1" applyBorder="1" applyAlignment="1">
      <alignment horizontal="center" vertical="center" wrapText="1"/>
    </xf>
    <xf numFmtId="0" fontId="17" fillId="8" borderId="36" xfId="2" applyFont="1" applyFill="1" applyBorder="1" applyAlignment="1">
      <alignment horizontal="center" vertical="center" wrapText="1"/>
    </xf>
    <xf numFmtId="0" fontId="17" fillId="0" borderId="0" xfId="2" applyFont="1" applyAlignment="1" applyProtection="1">
      <alignment wrapText="1"/>
      <protection locked="0"/>
    </xf>
    <xf numFmtId="9" fontId="32" fillId="0" borderId="4" xfId="2" applyNumberFormat="1" applyFont="1" applyBorder="1" applyAlignment="1" applyProtection="1">
      <alignment horizontal="center" wrapText="1"/>
      <protection locked="0"/>
    </xf>
    <xf numFmtId="0" fontId="17" fillId="0" borderId="37" xfId="2" applyFont="1" applyBorder="1" applyAlignment="1">
      <alignment wrapText="1"/>
    </xf>
    <xf numFmtId="3" fontId="8" fillId="0" borderId="9" xfId="0" applyNumberFormat="1" applyFont="1" applyBorder="1" applyAlignment="1">
      <alignment wrapText="1"/>
    </xf>
    <xf numFmtId="0" fontId="17" fillId="0" borderId="22" xfId="2" applyFont="1" applyBorder="1" applyAlignment="1">
      <alignment wrapText="1"/>
    </xf>
    <xf numFmtId="0" fontId="17" fillId="0" borderId="6" xfId="2" applyFont="1" applyBorder="1" applyAlignment="1">
      <alignment wrapText="1"/>
    </xf>
    <xf numFmtId="0" fontId="33" fillId="0" borderId="38" xfId="2" applyFont="1" applyBorder="1" applyAlignment="1">
      <alignment wrapText="1"/>
    </xf>
    <xf numFmtId="166" fontId="34" fillId="0" borderId="37" xfId="2" applyNumberFormat="1" applyFont="1" applyBorder="1" applyAlignment="1">
      <alignment wrapText="1"/>
    </xf>
    <xf numFmtId="4" fontId="36" fillId="0" borderId="23" xfId="2" applyNumberFormat="1" applyFont="1" applyBorder="1" applyAlignment="1">
      <alignment horizontal="right" wrapText="1"/>
    </xf>
    <xf numFmtId="166" fontId="34" fillId="9" borderId="22" xfId="2" applyNumberFormat="1" applyFont="1" applyFill="1" applyBorder="1" applyAlignment="1">
      <alignment wrapText="1"/>
    </xf>
    <xf numFmtId="4" fontId="36" fillId="0" borderId="22" xfId="2" applyNumberFormat="1" applyFont="1" applyBorder="1" applyAlignment="1">
      <alignment horizontal="right" wrapText="1"/>
    </xf>
    <xf numFmtId="0" fontId="37" fillId="0" borderId="22" xfId="2" applyFont="1" applyBorder="1" applyAlignment="1">
      <alignment horizontal="right" wrapText="1"/>
    </xf>
    <xf numFmtId="0" fontId="33" fillId="0" borderId="22" xfId="2" applyFont="1" applyBorder="1" applyAlignment="1">
      <alignment wrapText="1"/>
    </xf>
    <xf numFmtId="4" fontId="16" fillId="0" borderId="0" xfId="2" applyNumberFormat="1" applyAlignment="1" applyProtection="1">
      <alignment wrapText="1"/>
      <protection locked="0"/>
    </xf>
    <xf numFmtId="2" fontId="38" fillId="0" borderId="0" xfId="2" applyNumberFormat="1" applyFont="1" applyAlignment="1">
      <alignment wrapText="1"/>
    </xf>
    <xf numFmtId="0" fontId="17" fillId="10" borderId="40" xfId="2" applyFont="1" applyFill="1" applyBorder="1" applyAlignment="1">
      <alignment wrapText="1"/>
    </xf>
    <xf numFmtId="4" fontId="16" fillId="6" borderId="14" xfId="2" applyNumberFormat="1" applyFill="1" applyBorder="1" applyAlignment="1">
      <alignment horizontal="right" wrapText="1"/>
    </xf>
    <xf numFmtId="4" fontId="16" fillId="0" borderId="14" xfId="2" applyNumberFormat="1" applyBorder="1" applyAlignment="1">
      <alignment horizontal="right" wrapText="1"/>
    </xf>
    <xf numFmtId="0" fontId="17" fillId="0" borderId="4" xfId="2" applyFont="1" applyBorder="1" applyAlignment="1">
      <alignment wrapText="1"/>
    </xf>
    <xf numFmtId="0" fontId="33" fillId="0" borderId="41" xfId="2" applyFont="1" applyBorder="1" applyAlignment="1">
      <alignment wrapText="1"/>
    </xf>
    <xf numFmtId="166" fontId="34" fillId="0" borderId="40" xfId="2" applyNumberFormat="1" applyFont="1" applyBorder="1" applyAlignment="1">
      <alignment wrapText="1"/>
    </xf>
    <xf numFmtId="4" fontId="36" fillId="0" borderId="24" xfId="2" applyNumberFormat="1" applyFont="1" applyBorder="1" applyAlignment="1">
      <alignment horizontal="right" wrapText="1"/>
    </xf>
    <xf numFmtId="4" fontId="36" fillId="0" borderId="4" xfId="2" applyNumberFormat="1" applyFont="1" applyBorder="1" applyAlignment="1">
      <alignment horizontal="right" wrapText="1"/>
    </xf>
    <xf numFmtId="2" fontId="37" fillId="0" borderId="4" xfId="2" applyNumberFormat="1" applyFont="1" applyBorder="1" applyAlignment="1">
      <alignment horizontal="right" wrapText="1"/>
    </xf>
    <xf numFmtId="0" fontId="33" fillId="0" borderId="4" xfId="2" applyFont="1" applyBorder="1" applyAlignment="1">
      <alignment wrapText="1"/>
    </xf>
    <xf numFmtId="0" fontId="17" fillId="0" borderId="19" xfId="2" applyFont="1" applyBorder="1" applyAlignment="1">
      <alignment wrapText="1"/>
    </xf>
    <xf numFmtId="4" fontId="16" fillId="0" borderId="4" xfId="2" applyNumberFormat="1" applyBorder="1" applyAlignment="1">
      <alignment horizontal="right" wrapText="1"/>
    </xf>
    <xf numFmtId="0" fontId="17" fillId="0" borderId="16" xfId="2" applyFont="1" applyBorder="1" applyAlignment="1">
      <alignment wrapText="1"/>
    </xf>
    <xf numFmtId="4" fontId="16" fillId="0" borderId="15" xfId="2" applyNumberFormat="1" applyBorder="1" applyAlignment="1">
      <alignment horizontal="right" wrapText="1"/>
    </xf>
    <xf numFmtId="0" fontId="17" fillId="0" borderId="15" xfId="2" applyFont="1" applyBorder="1" applyAlignment="1">
      <alignment wrapText="1"/>
    </xf>
    <xf numFmtId="0" fontId="32" fillId="0" borderId="43" xfId="2" applyFont="1" applyBorder="1" applyAlignment="1">
      <alignment wrapText="1"/>
    </xf>
    <xf numFmtId="166" fontId="34" fillId="0" borderId="19" xfId="2" applyNumberFormat="1" applyFont="1" applyBorder="1" applyAlignment="1">
      <alignment wrapText="1"/>
    </xf>
    <xf numFmtId="4" fontId="36" fillId="0" borderId="20" xfId="2" applyNumberFormat="1" applyFont="1" applyBorder="1" applyAlignment="1">
      <alignment horizontal="right" wrapText="1"/>
    </xf>
    <xf numFmtId="4" fontId="36" fillId="0" borderId="9" xfId="2" applyNumberFormat="1" applyFont="1" applyBorder="1" applyAlignment="1">
      <alignment horizontal="right" wrapText="1"/>
    </xf>
    <xf numFmtId="166" fontId="34" fillId="0" borderId="4" xfId="2" applyNumberFormat="1" applyFont="1" applyBorder="1" applyAlignment="1">
      <alignment wrapText="1"/>
    </xf>
    <xf numFmtId="166" fontId="34" fillId="0" borderId="9" xfId="2" applyNumberFormat="1" applyFont="1" applyBorder="1" applyAlignment="1">
      <alignment horizontal="right" wrapText="1"/>
    </xf>
    <xf numFmtId="0" fontId="17" fillId="0" borderId="4" xfId="2" applyFont="1" applyBorder="1" applyAlignment="1">
      <alignment horizontal="left" wrapText="1"/>
    </xf>
    <xf numFmtId="0" fontId="17" fillId="0" borderId="40" xfId="2" applyFont="1" applyBorder="1" applyAlignment="1">
      <alignment wrapText="1"/>
    </xf>
    <xf numFmtId="0" fontId="17" fillId="0" borderId="42" xfId="2" applyFont="1" applyBorder="1" applyAlignment="1">
      <alignment wrapText="1"/>
    </xf>
    <xf numFmtId="4" fontId="16" fillId="0" borderId="44" xfId="2" applyNumberFormat="1" applyBorder="1" applyAlignment="1">
      <alignment horizontal="right" wrapText="1"/>
    </xf>
    <xf numFmtId="0" fontId="17" fillId="0" borderId="44" xfId="2" applyFont="1" applyBorder="1" applyAlignment="1">
      <alignment wrapText="1"/>
    </xf>
    <xf numFmtId="0" fontId="33" fillId="0" borderId="42" xfId="2" applyFont="1" applyBorder="1" applyAlignment="1">
      <alignment wrapText="1"/>
    </xf>
    <xf numFmtId="0" fontId="17" fillId="0" borderId="45" xfId="2" applyFont="1" applyBorder="1" applyAlignment="1">
      <alignment wrapText="1"/>
    </xf>
    <xf numFmtId="4" fontId="16" fillId="0" borderId="7" xfId="2" applyNumberFormat="1" applyBorder="1" applyAlignment="1">
      <alignment horizontal="right" wrapText="1"/>
    </xf>
    <xf numFmtId="0" fontId="17" fillId="0" borderId="46" xfId="2" applyFont="1" applyBorder="1" applyAlignment="1">
      <alignment wrapText="1"/>
    </xf>
    <xf numFmtId="4" fontId="16" fillId="0" borderId="47" xfId="2" applyNumberFormat="1" applyBorder="1" applyAlignment="1">
      <alignment horizontal="right" wrapText="1"/>
    </xf>
    <xf numFmtId="0" fontId="17" fillId="0" borderId="47" xfId="2" applyFont="1" applyBorder="1" applyAlignment="1">
      <alignment wrapText="1"/>
    </xf>
    <xf numFmtId="0" fontId="32" fillId="0" borderId="48" xfId="2" applyFont="1" applyBorder="1" applyAlignment="1">
      <alignment wrapText="1"/>
    </xf>
    <xf numFmtId="166" fontId="34" fillId="0" borderId="45" xfId="2" applyNumberFormat="1" applyFont="1" applyBorder="1" applyAlignment="1">
      <alignment wrapText="1"/>
    </xf>
    <xf numFmtId="4" fontId="36" fillId="0" borderId="3" xfId="2" applyNumberFormat="1" applyFont="1" applyBorder="1" applyAlignment="1">
      <alignment horizontal="right" wrapText="1"/>
    </xf>
    <xf numFmtId="4" fontId="36" fillId="0" borderId="2" xfId="2" applyNumberFormat="1" applyFont="1" applyBorder="1" applyAlignment="1">
      <alignment horizontal="right" wrapText="1"/>
    </xf>
    <xf numFmtId="2" fontId="37" fillId="0" borderId="2" xfId="2" applyNumberFormat="1" applyFont="1" applyBorder="1" applyAlignment="1">
      <alignment horizontal="right" wrapText="1"/>
    </xf>
    <xf numFmtId="0" fontId="32" fillId="0" borderId="46" xfId="2" applyFont="1" applyBorder="1" applyAlignment="1">
      <alignment wrapText="1"/>
    </xf>
    <xf numFmtId="4" fontId="36" fillId="0" borderId="46" xfId="2" applyNumberFormat="1" applyFont="1" applyBorder="1" applyAlignment="1">
      <alignment horizontal="right" wrapText="1"/>
    </xf>
    <xf numFmtId="4" fontId="17" fillId="0" borderId="4" xfId="2" applyNumberFormat="1" applyFont="1" applyBorder="1" applyAlignment="1">
      <alignment wrapText="1"/>
    </xf>
    <xf numFmtId="0" fontId="39" fillId="0" borderId="0" xfId="2" applyFont="1" applyAlignment="1">
      <alignment wrapText="1"/>
    </xf>
    <xf numFmtId="2" fontId="39" fillId="0" borderId="0" xfId="2" applyNumberFormat="1" applyFont="1" applyAlignment="1">
      <alignment wrapText="1"/>
    </xf>
    <xf numFmtId="4" fontId="16" fillId="0" borderId="22" xfId="2" applyNumberFormat="1" applyBorder="1" applyAlignment="1">
      <alignment horizontal="right" wrapText="1"/>
    </xf>
    <xf numFmtId="14" fontId="16" fillId="0" borderId="16" xfId="2" applyNumberFormat="1" applyBorder="1" applyAlignment="1">
      <alignment wrapText="1"/>
    </xf>
    <xf numFmtId="0" fontId="16" fillId="0" borderId="16" xfId="2" applyBorder="1" applyAlignment="1">
      <alignment wrapText="1"/>
    </xf>
    <xf numFmtId="0" fontId="16" fillId="0" borderId="15" xfId="2" applyBorder="1" applyAlignment="1">
      <alignment wrapText="1"/>
    </xf>
    <xf numFmtId="171" fontId="17" fillId="0" borderId="4" xfId="2" applyNumberFormat="1" applyFont="1" applyBorder="1" applyAlignment="1">
      <alignment wrapText="1"/>
    </xf>
    <xf numFmtId="0" fontId="16" fillId="0" borderId="44" xfId="2" applyBorder="1" applyAlignment="1">
      <alignment wrapText="1"/>
    </xf>
    <xf numFmtId="0" fontId="32" fillId="0" borderId="16" xfId="2" applyFont="1" applyBorder="1" applyAlignment="1">
      <alignment wrapText="1"/>
    </xf>
    <xf numFmtId="0" fontId="17" fillId="0" borderId="4" xfId="2" applyFont="1" applyBorder="1" applyAlignment="1" applyProtection="1">
      <alignment wrapText="1"/>
      <protection locked="0"/>
    </xf>
    <xf numFmtId="0" fontId="0" fillId="0" borderId="4" xfId="0" applyBorder="1" applyAlignment="1">
      <alignment wrapText="1"/>
    </xf>
    <xf numFmtId="172" fontId="40" fillId="0" borderId="4" xfId="5" applyNumberFormat="1" applyFont="1" applyFill="1" applyBorder="1" applyAlignment="1">
      <alignment wrapText="1"/>
    </xf>
    <xf numFmtId="9" fontId="16" fillId="0" borderId="0" xfId="5" applyFont="1" applyAlignment="1" applyProtection="1">
      <alignment wrapText="1"/>
      <protection locked="0"/>
    </xf>
    <xf numFmtId="4" fontId="36" fillId="0" borderId="24" xfId="2" applyNumberFormat="1" applyFont="1" applyBorder="1" applyAlignment="1">
      <alignment wrapText="1"/>
    </xf>
    <xf numFmtId="4" fontId="36" fillId="0" borderId="4" xfId="2" applyNumberFormat="1" applyFont="1" applyBorder="1" applyAlignment="1">
      <alignment wrapText="1"/>
    </xf>
    <xf numFmtId="2" fontId="37" fillId="0" borderId="4" xfId="2" applyNumberFormat="1" applyFont="1" applyBorder="1" applyAlignment="1">
      <alignment wrapText="1"/>
    </xf>
    <xf numFmtId="0" fontId="29" fillId="0" borderId="0" xfId="2" applyFont="1" applyAlignment="1" applyProtection="1">
      <alignment wrapText="1"/>
      <protection locked="0"/>
    </xf>
    <xf numFmtId="0" fontId="16" fillId="4" borderId="4" xfId="2" applyFill="1" applyBorder="1" applyAlignment="1" applyProtection="1">
      <alignment horizontal="center" vertical="center" wrapText="1"/>
      <protection locked="0"/>
    </xf>
    <xf numFmtId="0" fontId="17" fillId="0" borderId="29" xfId="2" applyFont="1" applyBorder="1" applyAlignment="1">
      <alignment wrapText="1"/>
    </xf>
    <xf numFmtId="4" fontId="16" fillId="0" borderId="2" xfId="2" applyNumberFormat="1" applyBorder="1" applyAlignment="1">
      <alignment horizontal="right" wrapText="1"/>
    </xf>
    <xf numFmtId="14" fontId="16" fillId="0" borderId="46" xfId="2" applyNumberFormat="1" applyBorder="1" applyAlignment="1">
      <alignment wrapText="1"/>
    </xf>
    <xf numFmtId="14" fontId="16" fillId="0" borderId="2" xfId="2" applyNumberFormat="1" applyBorder="1" applyAlignment="1">
      <alignment wrapText="1"/>
    </xf>
    <xf numFmtId="4" fontId="16" fillId="0" borderId="0" xfId="2" applyNumberFormat="1" applyAlignment="1">
      <alignment horizontal="right" wrapText="1"/>
    </xf>
    <xf numFmtId="0" fontId="16" fillId="0" borderId="10" xfId="2" applyBorder="1" applyAlignment="1">
      <alignment wrapText="1"/>
    </xf>
    <xf numFmtId="0" fontId="32" fillId="0" borderId="33" xfId="2" applyFont="1" applyBorder="1" applyAlignment="1">
      <alignment wrapText="1"/>
    </xf>
    <xf numFmtId="166" fontId="34" fillId="0" borderId="29" xfId="2" applyNumberFormat="1" applyFont="1" applyBorder="1" applyAlignment="1">
      <alignment wrapText="1"/>
    </xf>
    <xf numFmtId="4" fontId="36" fillId="0" borderId="21" xfId="2" applyNumberFormat="1" applyFont="1" applyBorder="1" applyAlignment="1">
      <alignment wrapText="1"/>
    </xf>
    <xf numFmtId="166" fontId="32" fillId="0" borderId="45" xfId="2" applyNumberFormat="1" applyFont="1" applyBorder="1" applyAlignment="1">
      <alignment wrapText="1"/>
    </xf>
    <xf numFmtId="4" fontId="36" fillId="0" borderId="7" xfId="2" applyNumberFormat="1" applyFont="1" applyBorder="1" applyAlignment="1">
      <alignment wrapText="1"/>
    </xf>
    <xf numFmtId="2" fontId="37" fillId="0" borderId="7" xfId="2" applyNumberFormat="1" applyFont="1" applyBorder="1" applyAlignment="1">
      <alignment wrapText="1"/>
    </xf>
    <xf numFmtId="0" fontId="29" fillId="0" borderId="0" xfId="2" applyFont="1" applyAlignment="1">
      <alignment wrapText="1"/>
    </xf>
    <xf numFmtId="4" fontId="16" fillId="0" borderId="9" xfId="2" applyNumberFormat="1" applyBorder="1" applyAlignment="1">
      <alignment horizontal="right" wrapText="1"/>
    </xf>
    <xf numFmtId="165" fontId="16" fillId="0" borderId="39" xfId="2" applyNumberFormat="1" applyBorder="1" applyAlignment="1">
      <alignment wrapText="1"/>
    </xf>
    <xf numFmtId="166" fontId="19" fillId="0" borderId="6" xfId="2" applyNumberFormat="1" applyFont="1" applyBorder="1" applyAlignment="1">
      <alignment wrapText="1"/>
    </xf>
    <xf numFmtId="166" fontId="34" fillId="0" borderId="38" xfId="2" applyNumberFormat="1" applyFont="1" applyBorder="1" applyAlignment="1">
      <alignment wrapText="1"/>
    </xf>
    <xf numFmtId="4" fontId="36" fillId="0" borderId="23" xfId="2" applyNumberFormat="1" applyFont="1" applyBorder="1" applyAlignment="1">
      <alignment wrapText="1"/>
    </xf>
    <xf numFmtId="4" fontId="36" fillId="0" borderId="22" xfId="2" applyNumberFormat="1" applyFont="1" applyBorder="1" applyAlignment="1">
      <alignment wrapText="1"/>
    </xf>
    <xf numFmtId="4" fontId="41" fillId="0" borderId="4" xfId="2" applyNumberFormat="1" applyFont="1" applyBorder="1" applyAlignment="1">
      <alignment horizontal="right" wrapText="1"/>
    </xf>
    <xf numFmtId="165" fontId="16" fillId="0" borderId="42" xfId="2" applyNumberFormat="1" applyBorder="1" applyAlignment="1">
      <alignment wrapText="1"/>
    </xf>
    <xf numFmtId="166" fontId="19" fillId="0" borderId="31" xfId="2" applyNumberFormat="1" applyFont="1" applyBorder="1" applyAlignment="1">
      <alignment wrapText="1"/>
    </xf>
    <xf numFmtId="166" fontId="34" fillId="0" borderId="41" xfId="2" applyNumberFormat="1" applyFont="1" applyBorder="1" applyAlignment="1">
      <alignment wrapText="1"/>
    </xf>
    <xf numFmtId="165" fontId="16" fillId="0" borderId="46" xfId="2" applyNumberFormat="1" applyBorder="1" applyAlignment="1">
      <alignment wrapText="1"/>
    </xf>
    <xf numFmtId="167" fontId="19" fillId="0" borderId="50" xfId="2" applyNumberFormat="1" applyFont="1" applyBorder="1" applyAlignment="1">
      <alignment wrapText="1"/>
    </xf>
    <xf numFmtId="166" fontId="34" fillId="0" borderId="48" xfId="2" applyNumberFormat="1" applyFont="1" applyBorder="1" applyAlignment="1">
      <alignment wrapText="1"/>
    </xf>
    <xf numFmtId="4" fontId="36" fillId="0" borderId="3" xfId="2" applyNumberFormat="1" applyFont="1" applyBorder="1" applyAlignment="1">
      <alignment wrapText="1"/>
    </xf>
    <xf numFmtId="166" fontId="16" fillId="0" borderId="0" xfId="2" applyNumberFormat="1" applyAlignment="1" applyProtection="1">
      <alignment wrapText="1"/>
      <protection locked="0"/>
    </xf>
    <xf numFmtId="0" fontId="17" fillId="0" borderId="32" xfId="2" applyFont="1" applyBorder="1" applyAlignment="1">
      <alignment wrapText="1"/>
    </xf>
    <xf numFmtId="4" fontId="16" fillId="0" borderId="5" xfId="2" applyNumberFormat="1" applyBorder="1" applyAlignment="1">
      <alignment horizontal="right" wrapText="1"/>
    </xf>
    <xf numFmtId="0" fontId="17" fillId="0" borderId="18" xfId="2" applyFont="1" applyBorder="1" applyAlignment="1">
      <alignment wrapText="1"/>
    </xf>
    <xf numFmtId="0" fontId="17" fillId="0" borderId="27" xfId="2" applyFont="1" applyBorder="1" applyAlignment="1">
      <alignment wrapText="1"/>
    </xf>
    <xf numFmtId="0" fontId="16" fillId="0" borderId="51" xfId="2" applyBorder="1" applyAlignment="1">
      <alignment wrapText="1"/>
    </xf>
    <xf numFmtId="3" fontId="16" fillId="0" borderId="0" xfId="2" applyNumberFormat="1" applyAlignment="1">
      <alignment horizontal="right" wrapText="1"/>
    </xf>
    <xf numFmtId="0" fontId="17" fillId="0" borderId="52" xfId="2" applyFont="1" applyBorder="1" applyAlignment="1">
      <alignment wrapText="1"/>
    </xf>
    <xf numFmtId="0" fontId="32" fillId="0" borderId="53" xfId="2" applyFont="1" applyBorder="1" applyAlignment="1">
      <alignment wrapText="1"/>
    </xf>
    <xf numFmtId="166" fontId="34" fillId="0" borderId="32" xfId="2" applyNumberFormat="1" applyFont="1" applyBorder="1" applyAlignment="1">
      <alignment horizontal="center" wrapText="1"/>
    </xf>
    <xf numFmtId="0" fontId="17" fillId="0" borderId="34" xfId="2" applyFont="1" applyBorder="1" applyAlignment="1">
      <alignment wrapText="1"/>
    </xf>
    <xf numFmtId="4" fontId="16" fillId="0" borderId="54" xfId="2" applyNumberFormat="1" applyBorder="1" applyAlignment="1">
      <alignment wrapText="1"/>
    </xf>
    <xf numFmtId="3" fontId="16" fillId="0" borderId="54" xfId="2" applyNumberFormat="1" applyBorder="1" applyAlignment="1" applyProtection="1">
      <alignment wrapText="1"/>
      <protection locked="0"/>
    </xf>
    <xf numFmtId="0" fontId="17" fillId="0" borderId="54" xfId="2" applyFont="1" applyBorder="1" applyAlignment="1" applyProtection="1">
      <alignment wrapText="1"/>
      <protection locked="0"/>
    </xf>
    <xf numFmtId="0" fontId="17" fillId="0" borderId="54" xfId="2" applyFont="1" applyBorder="1" applyAlignment="1">
      <alignment wrapText="1"/>
    </xf>
    <xf numFmtId="3" fontId="16" fillId="0" borderId="54" xfId="2" applyNumberFormat="1" applyBorder="1" applyAlignment="1">
      <alignment wrapText="1"/>
    </xf>
    <xf numFmtId="0" fontId="17" fillId="0" borderId="55" xfId="2" applyFont="1" applyBorder="1" applyAlignment="1">
      <alignment wrapText="1"/>
    </xf>
    <xf numFmtId="0" fontId="33" fillId="0" borderId="54" xfId="2" applyFont="1" applyBorder="1" applyAlignment="1">
      <alignment wrapText="1"/>
    </xf>
    <xf numFmtId="0" fontId="34" fillId="0" borderId="28" xfId="2" applyFont="1" applyBorder="1" applyAlignment="1">
      <alignment wrapText="1"/>
    </xf>
    <xf numFmtId="0" fontId="36" fillId="0" borderId="56" xfId="2" applyFont="1" applyBorder="1" applyAlignment="1">
      <alignment wrapText="1"/>
    </xf>
    <xf numFmtId="0" fontId="34" fillId="0" borderId="54" xfId="2" applyFont="1" applyBorder="1" applyAlignment="1">
      <alignment wrapText="1"/>
    </xf>
    <xf numFmtId="0" fontId="32" fillId="0" borderId="57" xfId="2" applyFont="1" applyBorder="1" applyAlignment="1">
      <alignment wrapText="1"/>
    </xf>
    <xf numFmtId="4" fontId="36" fillId="0" borderId="58" xfId="2" applyNumberFormat="1" applyFont="1" applyBorder="1" applyAlignment="1">
      <alignment wrapText="1"/>
    </xf>
    <xf numFmtId="4" fontId="36" fillId="0" borderId="35" xfId="2" applyNumberFormat="1" applyFont="1" applyBorder="1" applyAlignment="1">
      <alignment wrapText="1"/>
    </xf>
    <xf numFmtId="0" fontId="37" fillId="3" borderId="7" xfId="2" applyFont="1" applyFill="1" applyBorder="1" applyAlignment="1">
      <alignment wrapText="1"/>
    </xf>
    <xf numFmtId="4" fontId="42" fillId="3" borderId="7" xfId="2" applyNumberFormat="1" applyFont="1" applyFill="1" applyBorder="1" applyAlignment="1">
      <alignment wrapText="1"/>
    </xf>
    <xf numFmtId="0" fontId="33" fillId="8" borderId="7" xfId="2" applyFont="1" applyFill="1" applyBorder="1" applyAlignment="1">
      <alignment wrapText="1"/>
    </xf>
    <xf numFmtId="0" fontId="37" fillId="8" borderId="7" xfId="2" applyFont="1" applyFill="1" applyBorder="1" applyAlignment="1">
      <alignment wrapText="1"/>
    </xf>
    <xf numFmtId="4" fontId="42" fillId="8" borderId="7" xfId="2" applyNumberFormat="1" applyFont="1" applyFill="1" applyBorder="1" applyAlignment="1">
      <alignment wrapText="1"/>
    </xf>
    <xf numFmtId="0" fontId="34" fillId="8" borderId="7" xfId="2" applyFont="1" applyFill="1" applyBorder="1" applyAlignment="1">
      <alignment wrapText="1"/>
    </xf>
    <xf numFmtId="4" fontId="42" fillId="8" borderId="21" xfId="2" applyNumberFormat="1" applyFont="1" applyFill="1" applyBorder="1" applyAlignment="1">
      <alignment wrapText="1"/>
    </xf>
    <xf numFmtId="0" fontId="37" fillId="3" borderId="2" xfId="2" applyFont="1" applyFill="1" applyBorder="1" applyAlignment="1">
      <alignment wrapText="1"/>
    </xf>
    <xf numFmtId="4" fontId="42" fillId="3" borderId="2" xfId="2" applyNumberFormat="1" applyFont="1" applyFill="1" applyBorder="1" applyAlignment="1">
      <alignment wrapText="1"/>
    </xf>
    <xf numFmtId="0" fontId="32" fillId="8" borderId="2" xfId="2" applyFont="1" applyFill="1" applyBorder="1" applyAlignment="1">
      <alignment wrapText="1"/>
    </xf>
    <xf numFmtId="4" fontId="42" fillId="8" borderId="2" xfId="2" applyNumberFormat="1" applyFont="1" applyFill="1" applyBorder="1" applyAlignment="1">
      <alignment wrapText="1"/>
    </xf>
    <xf numFmtId="0" fontId="34" fillId="8" borderId="2" xfId="2" applyFont="1" applyFill="1" applyBorder="1" applyAlignment="1">
      <alignment wrapText="1"/>
    </xf>
    <xf numFmtId="4" fontId="42" fillId="8" borderId="3" xfId="2" applyNumberFormat="1" applyFont="1" applyFill="1" applyBorder="1" applyAlignment="1">
      <alignment wrapText="1"/>
    </xf>
    <xf numFmtId="4" fontId="16" fillId="0" borderId="0" xfId="2" applyNumberFormat="1" applyAlignment="1">
      <alignment wrapText="1"/>
    </xf>
    <xf numFmtId="0" fontId="17" fillId="11" borderId="37" xfId="2" applyFont="1" applyFill="1" applyBorder="1" applyAlignment="1">
      <alignment wrapText="1"/>
    </xf>
    <xf numFmtId="0" fontId="17" fillId="3" borderId="22" xfId="2" applyFont="1" applyFill="1" applyBorder="1" applyAlignment="1">
      <alignment wrapText="1"/>
    </xf>
    <xf numFmtId="0" fontId="17" fillId="3" borderId="23" xfId="2" applyFont="1" applyFill="1" applyBorder="1" applyAlignment="1">
      <alignment horizontal="center" wrapText="1"/>
    </xf>
    <xf numFmtId="0" fontId="0" fillId="0" borderId="0" xfId="0" applyAlignment="1">
      <alignment wrapText="1"/>
    </xf>
    <xf numFmtId="0" fontId="16" fillId="0" borderId="7" xfId="2" applyBorder="1" applyAlignment="1">
      <alignment wrapText="1"/>
    </xf>
    <xf numFmtId="0" fontId="17" fillId="0" borderId="38" xfId="2" applyFont="1" applyBorder="1" applyAlignment="1">
      <alignment wrapText="1"/>
    </xf>
    <xf numFmtId="0" fontId="17" fillId="0" borderId="49" xfId="2" applyFont="1" applyBorder="1" applyAlignment="1">
      <alignment wrapText="1"/>
    </xf>
    <xf numFmtId="0" fontId="17" fillId="0" borderId="39" xfId="2" applyFont="1" applyBorder="1" applyAlignment="1">
      <alignment wrapText="1"/>
    </xf>
    <xf numFmtId="166" fontId="16" fillId="0" borderId="0" xfId="2" applyNumberFormat="1" applyAlignment="1">
      <alignment wrapText="1"/>
    </xf>
    <xf numFmtId="0" fontId="17" fillId="0" borderId="48" xfId="2" applyFont="1" applyBorder="1" applyAlignment="1">
      <alignment wrapText="1"/>
    </xf>
    <xf numFmtId="4" fontId="44" fillId="3" borderId="3" xfId="2" applyNumberFormat="1" applyFont="1" applyFill="1" applyBorder="1" applyAlignment="1">
      <alignment wrapText="1"/>
    </xf>
    <xf numFmtId="0" fontId="16" fillId="12" borderId="0" xfId="2" applyFill="1" applyAlignment="1" applyProtection="1">
      <alignment wrapText="1"/>
      <protection locked="0"/>
    </xf>
    <xf numFmtId="0" fontId="16" fillId="12" borderId="0" xfId="2" applyFill="1" applyAlignment="1">
      <alignment wrapText="1"/>
    </xf>
    <xf numFmtId="166" fontId="16" fillId="12" borderId="0" xfId="2" applyNumberFormat="1" applyFill="1" applyAlignment="1">
      <alignment wrapText="1"/>
    </xf>
    <xf numFmtId="0" fontId="17" fillId="0" borderId="4" xfId="2" applyFont="1" applyBorder="1" applyAlignment="1">
      <alignment horizontal="right" wrapText="1"/>
    </xf>
    <xf numFmtId="166" fontId="0" fillId="0" borderId="4" xfId="0" applyNumberFormat="1" applyBorder="1" applyAlignment="1">
      <alignment wrapText="1"/>
    </xf>
    <xf numFmtId="0" fontId="16" fillId="4" borderId="0" xfId="2" applyFill="1" applyAlignment="1">
      <alignment horizontal="center" vertical="center" wrapText="1"/>
    </xf>
    <xf numFmtId="2" fontId="18" fillId="0" borderId="4" xfId="0" applyNumberFormat="1" applyFont="1" applyBorder="1" applyAlignment="1">
      <alignment wrapText="1"/>
    </xf>
    <xf numFmtId="0" fontId="17" fillId="0" borderId="4" xfId="0" applyFont="1" applyBorder="1" applyAlignment="1">
      <alignment wrapText="1"/>
    </xf>
    <xf numFmtId="0" fontId="46" fillId="0" borderId="0" xfId="0" applyFont="1" applyAlignment="1">
      <alignment wrapText="1"/>
    </xf>
    <xf numFmtId="0" fontId="47" fillId="0" borderId="0" xfId="0" applyFont="1" applyAlignment="1">
      <alignment wrapText="1"/>
    </xf>
    <xf numFmtId="14" fontId="16" fillId="0" borderId="0" xfId="2" applyNumberFormat="1" applyAlignment="1">
      <alignment wrapText="1"/>
    </xf>
    <xf numFmtId="0" fontId="47" fillId="0" borderId="40" xfId="0" applyFont="1" applyBorder="1"/>
    <xf numFmtId="14" fontId="16" fillId="0" borderId="0" xfId="2" applyNumberFormat="1"/>
    <xf numFmtId="14" fontId="43" fillId="0" borderId="0" xfId="2" applyNumberFormat="1" applyFont="1" applyAlignment="1">
      <alignment wrapText="1"/>
    </xf>
    <xf numFmtId="0" fontId="32" fillId="0" borderId="0" xfId="2" quotePrefix="1" applyFont="1" applyAlignment="1">
      <alignment horizontal="left" wrapText="1"/>
    </xf>
    <xf numFmtId="0" fontId="32" fillId="7" borderId="4" xfId="2" applyFont="1" applyFill="1" applyBorder="1"/>
    <xf numFmtId="0" fontId="33" fillId="0" borderId="48" xfId="2" applyFont="1" applyBorder="1" applyAlignment="1">
      <alignment horizontal="center" wrapText="1"/>
    </xf>
    <xf numFmtId="0" fontId="33" fillId="0" borderId="47" xfId="2" applyFont="1" applyBorder="1" applyAlignment="1">
      <alignment horizontal="center" wrapText="1"/>
    </xf>
    <xf numFmtId="0" fontId="33" fillId="0" borderId="59" xfId="2" applyFont="1" applyBorder="1" applyAlignment="1">
      <alignment horizontal="center" wrapText="1"/>
    </xf>
    <xf numFmtId="0" fontId="17" fillId="0" borderId="44" xfId="2" applyFont="1" applyBorder="1" applyAlignment="1">
      <alignment horizontal="center" vertical="center" wrapText="1"/>
    </xf>
    <xf numFmtId="0" fontId="17" fillId="0" borderId="42" xfId="2" applyFont="1" applyBorder="1" applyAlignment="1">
      <alignment horizontal="center" vertical="center" wrapText="1"/>
    </xf>
    <xf numFmtId="0" fontId="33" fillId="0" borderId="41" xfId="2" applyFont="1" applyBorder="1" applyAlignment="1">
      <alignment horizontal="center" wrapText="1"/>
    </xf>
    <xf numFmtId="0" fontId="33" fillId="0" borderId="44" xfId="2" applyFont="1" applyBorder="1" applyAlignment="1">
      <alignment horizontal="center" wrapText="1"/>
    </xf>
    <xf numFmtId="0" fontId="33" fillId="0" borderId="71" xfId="2" applyFont="1" applyBorder="1" applyAlignment="1">
      <alignment horizontal="center" wrapText="1"/>
    </xf>
    <xf numFmtId="14" fontId="19" fillId="0" borderId="0" xfId="2" applyNumberFormat="1" applyFont="1"/>
    <xf numFmtId="14" fontId="16" fillId="0" borderId="0" xfId="2" applyNumberFormat="1" applyAlignment="1" applyProtection="1">
      <alignment wrapText="1"/>
      <protection locked="0"/>
    </xf>
    <xf numFmtId="0" fontId="17" fillId="15" borderId="12" xfId="2" applyFont="1" applyFill="1" applyBorder="1" applyAlignment="1">
      <alignment horizontal="center" vertical="center" wrapText="1"/>
    </xf>
    <xf numFmtId="0" fontId="55" fillId="0" borderId="0" xfId="0" applyFont="1" applyAlignment="1">
      <alignment vertical="center"/>
    </xf>
    <xf numFmtId="0" fontId="17" fillId="0" borderId="0" xfId="0" applyFont="1" applyAlignment="1">
      <alignment horizontal="left" vertical="center" indent="1"/>
    </xf>
    <xf numFmtId="0" fontId="56" fillId="0" borderId="0" xfId="0" applyFont="1" applyAlignment="1">
      <alignment vertical="center"/>
    </xf>
    <xf numFmtId="0" fontId="0" fillId="0" borderId="0" xfId="0" applyAlignment="1">
      <alignment horizontal="left" vertical="center" indent="5"/>
    </xf>
    <xf numFmtId="0" fontId="18" fillId="0" borderId="0" xfId="0" applyFont="1" applyAlignment="1">
      <alignment horizontal="left" vertical="center" indent="5"/>
    </xf>
    <xf numFmtId="0" fontId="18" fillId="0" borderId="0" xfId="0" applyFont="1" applyAlignment="1">
      <alignment horizontal="left" vertical="center" indent="6"/>
    </xf>
    <xf numFmtId="0" fontId="56" fillId="0" borderId="0" xfId="0" applyFont="1" applyAlignment="1">
      <alignment horizontal="left" vertical="center" indent="1"/>
    </xf>
    <xf numFmtId="0" fontId="56" fillId="0" borderId="0" xfId="0" applyFont="1" applyAlignment="1">
      <alignment horizontal="left" vertical="center" indent="2"/>
    </xf>
    <xf numFmtId="0" fontId="56" fillId="0" borderId="0" xfId="0" applyFont="1" applyAlignment="1">
      <alignment horizontal="left" vertical="center" wrapText="1" indent="2"/>
    </xf>
    <xf numFmtId="0" fontId="57" fillId="0" borderId="0" xfId="0" applyFont="1" applyAlignment="1">
      <alignment horizontal="left" vertical="center" indent="6"/>
    </xf>
    <xf numFmtId="0" fontId="56" fillId="0" borderId="0" xfId="0" applyFont="1" applyAlignment="1">
      <alignment horizontal="center" vertical="center" wrapText="1"/>
    </xf>
    <xf numFmtId="0" fontId="41" fillId="0" borderId="0" xfId="0" applyFont="1" applyAlignment="1">
      <alignment horizontal="left" vertical="center" indent="6"/>
    </xf>
    <xf numFmtId="0" fontId="0" fillId="0" borderId="0" xfId="0" applyAlignment="1">
      <alignment horizontal="left" vertical="center" indent="6"/>
    </xf>
    <xf numFmtId="0" fontId="0" fillId="3" borderId="4" xfId="2" applyFont="1" applyFill="1" applyBorder="1" applyAlignment="1">
      <alignment wrapText="1"/>
    </xf>
    <xf numFmtId="0" fontId="19" fillId="0" borderId="0" xfId="4" applyFont="1" applyAlignment="1">
      <alignment vertical="center"/>
    </xf>
    <xf numFmtId="0" fontId="58" fillId="0" borderId="0" xfId="0" applyFont="1" applyAlignment="1" applyProtection="1">
      <alignment vertical="center"/>
      <protection locked="0"/>
    </xf>
    <xf numFmtId="0" fontId="6" fillId="0" borderId="0" xfId="4" applyFont="1" applyAlignment="1">
      <alignment vertical="center"/>
    </xf>
    <xf numFmtId="4" fontId="0" fillId="0" borderId="0" xfId="0" applyNumberFormat="1"/>
    <xf numFmtId="14" fontId="0" fillId="0" borderId="0" xfId="0" applyNumberFormat="1"/>
    <xf numFmtId="0" fontId="0" fillId="0" borderId="0" xfId="0" applyAlignment="1">
      <alignment vertical="center" wrapText="1"/>
    </xf>
    <xf numFmtId="173" fontId="17" fillId="0" borderId="0" xfId="0" applyNumberFormat="1" applyFont="1"/>
    <xf numFmtId="173" fontId="0" fillId="0" borderId="0" xfId="0" applyNumberFormat="1"/>
    <xf numFmtId="0" fontId="17" fillId="0" borderId="4" xfId="4" applyFont="1" applyBorder="1"/>
    <xf numFmtId="0" fontId="17" fillId="0" borderId="4" xfId="4" applyFont="1" applyBorder="1" applyAlignment="1">
      <alignment horizontal="center"/>
    </xf>
    <xf numFmtId="173" fontId="17" fillId="0" borderId="4" xfId="0" applyNumberFormat="1" applyFont="1" applyBorder="1" applyAlignment="1">
      <alignment horizontal="center"/>
    </xf>
    <xf numFmtId="166" fontId="16" fillId="0" borderId="4" xfId="4" applyNumberFormat="1" applyBorder="1"/>
    <xf numFmtId="0" fontId="16" fillId="0" borderId="4" xfId="4" applyBorder="1"/>
    <xf numFmtId="173" fontId="17" fillId="0" borderId="4" xfId="0" applyNumberFormat="1" applyFont="1" applyBorder="1"/>
    <xf numFmtId="0" fontId="17" fillId="0" borderId="31" xfId="4" applyFont="1" applyBorder="1"/>
    <xf numFmtId="0" fontId="54" fillId="0" borderId="4" xfId="0" applyFont="1" applyBorder="1"/>
    <xf numFmtId="0" fontId="16" fillId="0" borderId="0" xfId="4"/>
    <xf numFmtId="0" fontId="0" fillId="0" borderId="4" xfId="0" applyBorder="1"/>
    <xf numFmtId="10" fontId="16" fillId="0" borderId="4" xfId="5" applyNumberFormat="1" applyFill="1" applyBorder="1"/>
    <xf numFmtId="4" fontId="0" fillId="0" borderId="4" xfId="4" applyNumberFormat="1" applyFont="1" applyBorder="1" applyAlignment="1">
      <alignment wrapText="1"/>
    </xf>
    <xf numFmtId="4" fontId="18" fillId="0" borderId="4" xfId="4" applyNumberFormat="1" applyFont="1" applyBorder="1"/>
    <xf numFmtId="0" fontId="48" fillId="0" borderId="0" xfId="0" applyFont="1" applyAlignment="1">
      <alignment vertical="top" wrapText="1"/>
    </xf>
    <xf numFmtId="0" fontId="0" fillId="0" borderId="0" xfId="4" applyFont="1"/>
    <xf numFmtId="0" fontId="0" fillId="0" borderId="4" xfId="4" applyFont="1" applyBorder="1" applyAlignment="1">
      <alignment wrapText="1"/>
    </xf>
    <xf numFmtId="4" fontId="38" fillId="0" borderId="0" xfId="4" applyNumberFormat="1" applyFont="1"/>
    <xf numFmtId="0" fontId="0" fillId="0" borderId="0" xfId="4" applyFont="1" applyAlignment="1">
      <alignment wrapText="1"/>
    </xf>
    <xf numFmtId="173" fontId="0" fillId="0" borderId="0" xfId="0" applyNumberFormat="1" applyAlignment="1">
      <alignment wrapText="1"/>
    </xf>
    <xf numFmtId="173" fontId="0" fillId="0" borderId="4" xfId="0" applyNumberFormat="1" applyBorder="1" applyAlignment="1">
      <alignment wrapText="1"/>
    </xf>
    <xf numFmtId="4" fontId="16" fillId="0" borderId="4" xfId="4" applyNumberFormat="1" applyBorder="1"/>
    <xf numFmtId="4" fontId="16" fillId="0" borderId="0" xfId="4" applyNumberFormat="1"/>
    <xf numFmtId="0" fontId="16" fillId="0" borderId="4" xfId="4" applyBorder="1" applyAlignment="1">
      <alignment horizontal="left"/>
    </xf>
    <xf numFmtId="4" fontId="17" fillId="13" borderId="4" xfId="4" applyNumberFormat="1" applyFont="1" applyFill="1" applyBorder="1" applyAlignment="1">
      <alignment wrapText="1"/>
    </xf>
    <xf numFmtId="4" fontId="17" fillId="0" borderId="4" xfId="4" applyNumberFormat="1" applyFont="1" applyBorder="1"/>
    <xf numFmtId="2" fontId="0" fillId="0" borderId="4" xfId="0" applyNumberFormat="1" applyBorder="1" applyAlignment="1">
      <alignment wrapText="1"/>
    </xf>
    <xf numFmtId="2" fontId="0" fillId="0" borderId="4" xfId="0" applyNumberFormat="1" applyBorder="1"/>
    <xf numFmtId="2" fontId="0" fillId="0" borderId="0" xfId="0" applyNumberFormat="1"/>
    <xf numFmtId="0" fontId="0" fillId="0" borderId="4" xfId="4" applyFont="1" applyBorder="1"/>
    <xf numFmtId="173" fontId="0" fillId="0" borderId="4" xfId="0" applyNumberFormat="1" applyBorder="1"/>
    <xf numFmtId="0" fontId="18" fillId="0" borderId="0" xfId="0" applyFont="1" applyAlignment="1">
      <alignment horizontal="center" wrapText="1"/>
    </xf>
    <xf numFmtId="4" fontId="0" fillId="0" borderId="4" xfId="0" applyNumberFormat="1" applyBorder="1" applyAlignment="1">
      <alignment wrapText="1"/>
    </xf>
    <xf numFmtId="4" fontId="0" fillId="0" borderId="4" xfId="4" applyNumberFormat="1" applyFont="1" applyBorder="1"/>
    <xf numFmtId="4" fontId="17" fillId="0" borderId="4" xfId="0" applyNumberFormat="1" applyFont="1" applyBorder="1"/>
    <xf numFmtId="167" fontId="0" fillId="0" borderId="4" xfId="0" applyNumberFormat="1" applyBorder="1"/>
    <xf numFmtId="4" fontId="0" fillId="0" borderId="4" xfId="0" applyNumberFormat="1" applyBorder="1"/>
    <xf numFmtId="4" fontId="16" fillId="0" borderId="4" xfId="6" applyNumberFormat="1" applyBorder="1"/>
    <xf numFmtId="4" fontId="17" fillId="13" borderId="4" xfId="0" applyNumberFormat="1" applyFont="1" applyFill="1" applyBorder="1"/>
    <xf numFmtId="4" fontId="0" fillId="13" borderId="4" xfId="0" applyNumberFormat="1" applyFill="1" applyBorder="1"/>
    <xf numFmtId="173" fontId="38" fillId="0" borderId="0" xfId="0" applyNumberFormat="1" applyFont="1"/>
    <xf numFmtId="166" fontId="0" fillId="0" borderId="0" xfId="0" applyNumberFormat="1"/>
    <xf numFmtId="0" fontId="63" fillId="0" borderId="0" xfId="0" applyFont="1"/>
    <xf numFmtId="0" fontId="64" fillId="0" borderId="0" xfId="3" applyNumberFormat="1" applyFont="1"/>
    <xf numFmtId="0" fontId="40" fillId="0" borderId="0" xfId="3" applyNumberFormat="1" applyFont="1"/>
    <xf numFmtId="4" fontId="40" fillId="0" borderId="0" xfId="3" applyNumberFormat="1" applyFont="1"/>
    <xf numFmtId="173" fontId="16" fillId="0" borderId="0" xfId="3"/>
    <xf numFmtId="0" fontId="65" fillId="0" borderId="0" xfId="3" applyNumberFormat="1" applyFont="1"/>
    <xf numFmtId="4" fontId="65" fillId="0" borderId="0" xfId="3" applyNumberFormat="1" applyFont="1"/>
    <xf numFmtId="0" fontId="65" fillId="0" borderId="0" xfId="3" applyNumberFormat="1" applyFont="1" applyAlignment="1">
      <alignment vertical="top"/>
    </xf>
    <xf numFmtId="1" fontId="0" fillId="0" borderId="0" xfId="0" applyNumberFormat="1"/>
    <xf numFmtId="173" fontId="0" fillId="7" borderId="0" xfId="0" applyNumberFormat="1" applyFill="1"/>
    <xf numFmtId="169" fontId="17" fillId="7" borderId="4" xfId="0" applyNumberFormat="1" applyFont="1" applyFill="1" applyBorder="1"/>
    <xf numFmtId="169" fontId="17" fillId="18" borderId="4" xfId="0" applyNumberFormat="1" applyFont="1" applyFill="1" applyBorder="1"/>
    <xf numFmtId="0" fontId="68" fillId="0" borderId="0" xfId="3" applyNumberFormat="1" applyFont="1"/>
    <xf numFmtId="167" fontId="17" fillId="18" borderId="4" xfId="0" applyNumberFormat="1" applyFont="1" applyFill="1" applyBorder="1"/>
    <xf numFmtId="0" fontId="79" fillId="2" borderId="0" xfId="0" applyFont="1" applyFill="1"/>
    <xf numFmtId="1" fontId="80" fillId="2" borderId="0" xfId="0" applyNumberFormat="1" applyFont="1" applyFill="1" applyAlignment="1">
      <alignment horizontal="left"/>
    </xf>
    <xf numFmtId="4" fontId="17" fillId="0" borderId="8" xfId="0" applyNumberFormat="1" applyFont="1" applyBorder="1"/>
    <xf numFmtId="0" fontId="77" fillId="2" borderId="0" xfId="0" applyFont="1" applyFill="1" applyAlignment="1">
      <alignment horizontal="left"/>
    </xf>
    <xf numFmtId="14" fontId="21" fillId="2" borderId="0" xfId="0" applyNumberFormat="1" applyFont="1" applyFill="1" applyAlignment="1">
      <alignment horizontal="left"/>
    </xf>
    <xf numFmtId="0" fontId="21" fillId="2" borderId="0" xfId="0" applyFont="1" applyFill="1" applyAlignment="1">
      <alignment horizontal="left" vertical="center"/>
    </xf>
    <xf numFmtId="0" fontId="21" fillId="2" borderId="0" xfId="0" applyFont="1" applyFill="1" applyAlignment="1">
      <alignment horizontal="left" wrapText="1"/>
    </xf>
    <xf numFmtId="0" fontId="22" fillId="2" borderId="0" xfId="0" applyFont="1" applyFill="1" applyAlignment="1">
      <alignment horizontal="left"/>
    </xf>
    <xf numFmtId="0" fontId="53" fillId="2" borderId="0" xfId="0" applyFont="1" applyFill="1" applyAlignment="1">
      <alignment wrapText="1"/>
    </xf>
    <xf numFmtId="164" fontId="21" fillId="2" borderId="0" xfId="0" applyNumberFormat="1" applyFont="1" applyFill="1"/>
    <xf numFmtId="14" fontId="25" fillId="6" borderId="48" xfId="0" applyNumberFormat="1" applyFont="1" applyFill="1" applyBorder="1" applyAlignment="1" applyProtection="1">
      <alignment horizontal="left" vertical="center"/>
      <protection locked="0"/>
    </xf>
    <xf numFmtId="168" fontId="25" fillId="2" borderId="0" xfId="0" applyNumberFormat="1" applyFont="1" applyFill="1" applyAlignment="1">
      <alignment horizontal="left" wrapText="1"/>
    </xf>
    <xf numFmtId="175" fontId="21" fillId="2" borderId="0" xfId="0" applyNumberFormat="1" applyFont="1" applyFill="1"/>
    <xf numFmtId="0" fontId="25" fillId="2" borderId="0" xfId="0" applyFont="1" applyFill="1" applyAlignment="1">
      <alignment wrapText="1"/>
    </xf>
    <xf numFmtId="173" fontId="0" fillId="19" borderId="4" xfId="0" applyNumberFormat="1" applyFill="1" applyBorder="1" applyAlignment="1">
      <alignment wrapText="1"/>
    </xf>
    <xf numFmtId="0" fontId="18" fillId="0" borderId="0" xfId="2" applyFont="1" applyAlignment="1">
      <alignment wrapText="1"/>
    </xf>
    <xf numFmtId="4" fontId="25" fillId="0" borderId="22" xfId="1" applyNumberFormat="1" applyFont="1" applyFill="1" applyBorder="1" applyAlignment="1" applyProtection="1">
      <alignment horizontal="center" vertical="center"/>
      <protection locked="0"/>
    </xf>
    <xf numFmtId="4" fontId="25" fillId="0" borderId="50" xfId="1" applyNumberFormat="1" applyFont="1" applyFill="1" applyBorder="1" applyAlignment="1" applyProtection="1">
      <alignment horizontal="center" vertical="center"/>
      <protection locked="0"/>
    </xf>
    <xf numFmtId="4" fontId="25" fillId="6" borderId="22" xfId="1" applyNumberFormat="1" applyFont="1" applyFill="1" applyBorder="1" applyAlignment="1" applyProtection="1">
      <alignment horizontal="center" vertical="center"/>
    </xf>
    <xf numFmtId="0" fontId="0" fillId="16" borderId="0" xfId="0" applyFill="1" applyProtection="1">
      <protection hidden="1"/>
    </xf>
    <xf numFmtId="0" fontId="0" fillId="16" borderId="4" xfId="0" applyFill="1" applyBorder="1" applyAlignment="1" applyProtection="1">
      <alignment wrapText="1"/>
      <protection hidden="1"/>
    </xf>
    <xf numFmtId="0" fontId="0" fillId="16" borderId="4" xfId="0" applyFill="1" applyBorder="1" applyProtection="1">
      <protection hidden="1"/>
    </xf>
    <xf numFmtId="0" fontId="54" fillId="0" borderId="0" xfId="0" applyFont="1" applyProtection="1">
      <protection hidden="1"/>
    </xf>
    <xf numFmtId="0" fontId="54" fillId="17" borderId="0" xfId="0" applyFont="1" applyFill="1" applyProtection="1">
      <protection hidden="1"/>
    </xf>
    <xf numFmtId="1" fontId="32" fillId="7" borderId="4" xfId="2" applyNumberFormat="1" applyFont="1" applyFill="1" applyBorder="1" applyAlignment="1">
      <alignment wrapText="1"/>
    </xf>
    <xf numFmtId="0" fontId="32" fillId="7" borderId="4" xfId="2" applyFont="1" applyFill="1" applyBorder="1" applyAlignment="1">
      <alignment wrapText="1"/>
    </xf>
    <xf numFmtId="14" fontId="32" fillId="0" borderId="4" xfId="2" applyNumberFormat="1" applyFont="1" applyBorder="1" applyAlignment="1">
      <alignment wrapText="1"/>
    </xf>
    <xf numFmtId="4" fontId="8" fillId="7" borderId="9" xfId="3" applyNumberFormat="1" applyFont="1" applyFill="1" applyBorder="1" applyAlignment="1">
      <alignment wrapText="1"/>
    </xf>
    <xf numFmtId="3" fontId="8" fillId="7" borderId="9" xfId="3" applyNumberFormat="1" applyFont="1" applyFill="1" applyBorder="1" applyAlignment="1">
      <alignment wrapText="1"/>
    </xf>
    <xf numFmtId="4" fontId="16" fillId="7" borderId="4" xfId="2" applyNumberFormat="1" applyFill="1" applyBorder="1" applyAlignment="1">
      <alignment wrapText="1"/>
    </xf>
    <xf numFmtId="3" fontId="16" fillId="7" borderId="16" xfId="2" applyNumberFormat="1" applyFill="1" applyBorder="1" applyAlignment="1">
      <alignment wrapText="1"/>
    </xf>
    <xf numFmtId="169" fontId="17" fillId="0" borderId="4" xfId="2" applyNumberFormat="1" applyFont="1" applyBorder="1" applyAlignment="1">
      <alignment wrapText="1"/>
    </xf>
    <xf numFmtId="14" fontId="16" fillId="4" borderId="31" xfId="2" applyNumberFormat="1" applyFill="1" applyBorder="1" applyAlignment="1">
      <alignment wrapText="1"/>
    </xf>
    <xf numFmtId="169" fontId="16" fillId="0" borderId="0" xfId="2" applyNumberFormat="1" applyAlignment="1">
      <alignment wrapText="1"/>
    </xf>
    <xf numFmtId="4" fontId="16" fillId="4" borderId="31" xfId="2" applyNumberFormat="1" applyFill="1" applyBorder="1" applyAlignment="1">
      <alignment wrapText="1"/>
    </xf>
    <xf numFmtId="4" fontId="16" fillId="0" borderId="4" xfId="2" applyNumberFormat="1" applyBorder="1" applyAlignment="1">
      <alignment wrapText="1"/>
    </xf>
    <xf numFmtId="174" fontId="16" fillId="0" borderId="0" xfId="1" applyNumberFormat="1" applyFont="1" applyAlignment="1" applyProtection="1">
      <alignment wrapText="1"/>
    </xf>
    <xf numFmtId="3" fontId="16" fillId="7" borderId="39" xfId="2" applyNumberFormat="1" applyFill="1" applyBorder="1" applyAlignment="1">
      <alignment wrapText="1"/>
    </xf>
    <xf numFmtId="14" fontId="16" fillId="7" borderId="16" xfId="2" applyNumberFormat="1" applyFill="1" applyBorder="1" applyAlignment="1">
      <alignment wrapText="1"/>
    </xf>
    <xf numFmtId="3" fontId="16" fillId="7" borderId="42" xfId="2" applyNumberFormat="1" applyFill="1" applyBorder="1" applyAlignment="1">
      <alignment wrapText="1"/>
    </xf>
    <xf numFmtId="14" fontId="16" fillId="7" borderId="42" xfId="2" applyNumberFormat="1" applyFill="1" applyBorder="1" applyAlignment="1">
      <alignment wrapText="1"/>
    </xf>
    <xf numFmtId="3" fontId="16" fillId="7" borderId="46" xfId="2" applyNumberFormat="1" applyFill="1" applyBorder="1" applyAlignment="1">
      <alignment wrapText="1"/>
    </xf>
    <xf numFmtId="14" fontId="16" fillId="7" borderId="46" xfId="2" applyNumberFormat="1" applyFill="1" applyBorder="1" applyAlignment="1">
      <alignment wrapText="1"/>
    </xf>
    <xf numFmtId="14" fontId="16" fillId="7" borderId="46" xfId="2" applyNumberFormat="1" applyFill="1" applyBorder="1" applyAlignment="1">
      <alignment horizontal="right" wrapText="1"/>
    </xf>
    <xf numFmtId="4" fontId="16" fillId="4" borderId="4" xfId="4" applyNumberFormat="1" applyFill="1" applyBorder="1"/>
    <xf numFmtId="4" fontId="0" fillId="4" borderId="4" xfId="4" applyNumberFormat="1" applyFont="1" applyFill="1" applyBorder="1"/>
    <xf numFmtId="2" fontId="0" fillId="4" borderId="4" xfId="0" applyNumberFormat="1" applyFill="1" applyBorder="1" applyAlignment="1">
      <alignment horizontal="left"/>
    </xf>
    <xf numFmtId="0" fontId="0" fillId="4" borderId="4" xfId="0" applyFill="1" applyBorder="1" applyProtection="1">
      <protection hidden="1"/>
    </xf>
    <xf numFmtId="0" fontId="54" fillId="20" borderId="0" xfId="0" applyFont="1" applyFill="1" applyProtection="1">
      <protection hidden="1"/>
    </xf>
    <xf numFmtId="0" fontId="16" fillId="4" borderId="4" xfId="4" applyFill="1" applyBorder="1" applyAlignment="1">
      <alignment horizontal="left" wrapText="1"/>
    </xf>
    <xf numFmtId="3" fontId="8" fillId="7" borderId="9" xfId="3" applyNumberFormat="1" applyFont="1" applyFill="1" applyBorder="1" applyAlignment="1" applyProtection="1">
      <alignment wrapText="1"/>
      <protection locked="0"/>
    </xf>
    <xf numFmtId="4" fontId="16" fillId="6" borderId="4" xfId="2" applyNumberFormat="1" applyFill="1" applyBorder="1" applyAlignment="1">
      <alignment horizontal="right" wrapText="1"/>
    </xf>
    <xf numFmtId="0" fontId="81" fillId="0" borderId="0" xfId="2" applyFont="1"/>
    <xf numFmtId="49" fontId="27" fillId="2" borderId="0" xfId="0" applyNumberFormat="1" applyFont="1" applyFill="1" applyAlignment="1">
      <alignment horizontal="left"/>
    </xf>
    <xf numFmtId="0" fontId="27" fillId="2" borderId="0" xfId="0" applyFont="1" applyFill="1"/>
    <xf numFmtId="0" fontId="27" fillId="2" borderId="0" xfId="0" applyFont="1" applyFill="1" applyAlignment="1" applyProtection="1">
      <alignment horizontal="right"/>
      <protection locked="0"/>
    </xf>
    <xf numFmtId="0" fontId="22" fillId="2" borderId="0" xfId="0" applyFont="1" applyFill="1" applyAlignment="1">
      <alignment wrapText="1"/>
    </xf>
    <xf numFmtId="0" fontId="22" fillId="2" borderId="0" xfId="0" applyFont="1" applyFill="1" applyAlignment="1">
      <alignment vertical="top"/>
    </xf>
    <xf numFmtId="0" fontId="77" fillId="2" borderId="0" xfId="0" applyFont="1" applyFill="1" applyAlignment="1">
      <alignment horizontal="left" vertical="top"/>
    </xf>
    <xf numFmtId="0" fontId="77" fillId="2" borderId="0" xfId="0" applyFont="1" applyFill="1"/>
    <xf numFmtId="0" fontId="82" fillId="2" borderId="0" xfId="0" applyFont="1" applyFill="1" applyAlignment="1">
      <alignment wrapText="1"/>
    </xf>
    <xf numFmtId="0" fontId="26" fillId="6" borderId="4" xfId="0" applyFont="1" applyFill="1" applyBorder="1" applyAlignment="1">
      <alignment horizontal="center" vertical="center"/>
    </xf>
    <xf numFmtId="0" fontId="26" fillId="6" borderId="22"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27"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27" xfId="0" applyFont="1" applyFill="1" applyBorder="1" applyAlignment="1">
      <alignment horizontal="center" vertical="center"/>
    </xf>
    <xf numFmtId="164" fontId="26" fillId="6" borderId="30" xfId="0" applyNumberFormat="1" applyFont="1" applyFill="1" applyBorder="1" applyAlignment="1">
      <alignment horizontal="center" vertical="center"/>
    </xf>
    <xf numFmtId="0" fontId="0" fillId="4" borderId="0" xfId="0" applyFill="1"/>
    <xf numFmtId="0" fontId="32" fillId="7" borderId="4" xfId="2" applyFont="1" applyFill="1" applyBorder="1" applyAlignment="1" applyProtection="1">
      <alignment wrapText="1"/>
      <protection locked="0"/>
    </xf>
    <xf numFmtId="0" fontId="8" fillId="7" borderId="0" xfId="0" applyFont="1" applyFill="1" applyAlignment="1">
      <alignment wrapText="1"/>
    </xf>
    <xf numFmtId="0" fontId="0" fillId="4" borderId="0" xfId="0" applyFill="1" applyAlignment="1">
      <alignment wrapText="1"/>
    </xf>
    <xf numFmtId="0" fontId="0" fillId="7" borderId="0" xfId="0" applyFill="1"/>
    <xf numFmtId="166" fontId="83" fillId="2" borderId="0" xfId="0" applyNumberFormat="1" applyFont="1" applyFill="1" applyAlignment="1">
      <alignment horizontal="left"/>
    </xf>
    <xf numFmtId="0" fontId="8" fillId="2" borderId="0" xfId="0" applyFont="1" applyFill="1" applyAlignment="1">
      <alignment vertical="center" wrapText="1"/>
    </xf>
    <xf numFmtId="4" fontId="16" fillId="7" borderId="4" xfId="2" applyNumberFormat="1" applyFill="1" applyBorder="1" applyAlignment="1" applyProtection="1">
      <alignment wrapText="1"/>
      <protection locked="0"/>
    </xf>
    <xf numFmtId="176" fontId="40" fillId="0" borderId="4" xfId="5" applyNumberFormat="1" applyFont="1" applyFill="1" applyBorder="1" applyAlignment="1">
      <alignment wrapText="1"/>
    </xf>
    <xf numFmtId="166" fontId="25" fillId="6" borderId="22" xfId="0" applyNumberFormat="1" applyFont="1" applyFill="1" applyBorder="1" applyAlignment="1">
      <alignment horizontal="center" vertical="center"/>
    </xf>
    <xf numFmtId="166" fontId="25" fillId="6" borderId="4" xfId="0" applyNumberFormat="1" applyFont="1" applyFill="1" applyBorder="1" applyAlignment="1">
      <alignment horizontal="center" vertical="center"/>
    </xf>
    <xf numFmtId="166" fontId="25" fillId="6" borderId="27" xfId="0" applyNumberFormat="1" applyFont="1" applyFill="1" applyBorder="1" applyAlignment="1">
      <alignment horizontal="center" vertical="center"/>
    </xf>
    <xf numFmtId="164" fontId="22" fillId="5" borderId="74" xfId="0" applyNumberFormat="1" applyFont="1" applyFill="1" applyBorder="1" applyAlignment="1">
      <alignment horizontal="center"/>
    </xf>
    <xf numFmtId="0" fontId="19" fillId="2" borderId="0" xfId="4" applyFont="1" applyFill="1"/>
    <xf numFmtId="0" fontId="69" fillId="2" borderId="0" xfId="0" applyFont="1" applyFill="1"/>
    <xf numFmtId="0" fontId="0" fillId="2" borderId="0" xfId="0" applyFill="1"/>
    <xf numFmtId="0" fontId="0" fillId="2" borderId="0" xfId="2" applyFont="1" applyFill="1" applyAlignment="1">
      <alignment wrapText="1"/>
    </xf>
    <xf numFmtId="14" fontId="47" fillId="2" borderId="0" xfId="2" applyNumberFormat="1" applyFont="1" applyFill="1" applyAlignment="1">
      <alignment wrapText="1"/>
    </xf>
    <xf numFmtId="0" fontId="47" fillId="2" borderId="0" xfId="2" applyFont="1" applyFill="1" applyAlignment="1">
      <alignment wrapText="1"/>
    </xf>
    <xf numFmtId="0" fontId="73" fillId="2" borderId="4" xfId="0" applyFont="1" applyFill="1" applyBorder="1" applyAlignment="1">
      <alignment wrapText="1"/>
    </xf>
    <xf numFmtId="0" fontId="47" fillId="2" borderId="4" xfId="0" applyFont="1" applyFill="1" applyBorder="1" applyAlignment="1">
      <alignment wrapText="1"/>
    </xf>
    <xf numFmtId="0" fontId="47" fillId="2" borderId="40" xfId="0" applyFont="1" applyFill="1" applyBorder="1"/>
    <xf numFmtId="4" fontId="2" fillId="2" borderId="73" xfId="0" applyNumberFormat="1" applyFont="1" applyFill="1" applyBorder="1" applyProtection="1">
      <protection locked="0"/>
    </xf>
    <xf numFmtId="0" fontId="17" fillId="2" borderId="0" xfId="2" applyFont="1" applyFill="1" applyAlignment="1">
      <alignment wrapText="1"/>
    </xf>
    <xf numFmtId="164" fontId="22" fillId="7" borderId="28" xfId="0" applyNumberFormat="1" applyFont="1" applyFill="1" applyBorder="1" applyAlignment="1">
      <alignment horizontal="center" vertical="center"/>
    </xf>
    <xf numFmtId="0" fontId="70" fillId="2" borderId="0" xfId="0" applyFont="1" applyFill="1" applyAlignment="1">
      <alignment horizontal="left" vertical="center"/>
    </xf>
    <xf numFmtId="0" fontId="71" fillId="2" borderId="0" xfId="0" applyFont="1" applyFill="1"/>
    <xf numFmtId="0" fontId="19" fillId="2" borderId="0" xfId="0" applyFont="1" applyFill="1"/>
    <xf numFmtId="0" fontId="16" fillId="2" borderId="0" xfId="0" applyFont="1" applyFill="1"/>
    <xf numFmtId="0" fontId="72" fillId="2" borderId="0" xfId="0" applyFont="1" applyFill="1" applyAlignment="1">
      <alignment horizontal="center" vertical="center" wrapText="1"/>
    </xf>
    <xf numFmtId="0" fontId="26" fillId="5" borderId="27" xfId="0" applyFont="1" applyFill="1" applyBorder="1" applyAlignment="1">
      <alignment horizontal="center" vertical="center" wrapText="1"/>
    </xf>
    <xf numFmtId="49" fontId="4" fillId="2" borderId="4" xfId="0" applyNumberFormat="1" applyFont="1" applyFill="1" applyBorder="1" applyAlignment="1">
      <alignment horizontal="left" wrapText="1"/>
    </xf>
    <xf numFmtId="0" fontId="17" fillId="2" borderId="4" xfId="0" applyFont="1" applyFill="1" applyBorder="1" applyAlignment="1">
      <alignment wrapText="1"/>
    </xf>
    <xf numFmtId="0" fontId="74" fillId="2" borderId="4" xfId="0" applyFont="1" applyFill="1" applyBorder="1" applyAlignment="1">
      <alignment vertical="top" wrapText="1"/>
    </xf>
    <xf numFmtId="0" fontId="0" fillId="2" borderId="0" xfId="0" applyFill="1" applyAlignment="1">
      <alignment vertical="top"/>
    </xf>
    <xf numFmtId="14" fontId="75" fillId="6" borderId="4" xfId="0" applyNumberFormat="1" applyFont="1" applyFill="1" applyBorder="1"/>
    <xf numFmtId="4" fontId="2" fillId="2" borderId="73" xfId="0" applyNumberFormat="1" applyFont="1" applyFill="1" applyBorder="1"/>
    <xf numFmtId="0" fontId="16" fillId="6" borderId="4" xfId="0" applyFont="1" applyFill="1" applyBorder="1"/>
    <xf numFmtId="14" fontId="75" fillId="2" borderId="4" xfId="0" applyNumberFormat="1" applyFont="1" applyFill="1" applyBorder="1"/>
    <xf numFmtId="4" fontId="2" fillId="2" borderId="0" xfId="0" applyNumberFormat="1" applyFont="1" applyFill="1"/>
    <xf numFmtId="4" fontId="74" fillId="2" borderId="0" xfId="0" applyNumberFormat="1" applyFont="1" applyFill="1" applyAlignment="1">
      <alignment vertical="top"/>
    </xf>
    <xf numFmtId="0" fontId="0" fillId="2" borderId="0" xfId="0" applyFill="1" applyAlignment="1">
      <alignment horizontal="center" wrapText="1"/>
    </xf>
    <xf numFmtId="2" fontId="0" fillId="7" borderId="0" xfId="0" applyNumberFormat="1" applyFill="1"/>
    <xf numFmtId="2" fontId="74" fillId="2" borderId="0" xfId="0" applyNumberFormat="1" applyFont="1" applyFill="1" applyAlignment="1">
      <alignment vertical="top"/>
    </xf>
    <xf numFmtId="0" fontId="47" fillId="2" borderId="0" xfId="0" applyFont="1" applyFill="1"/>
    <xf numFmtId="0" fontId="73" fillId="2" borderId="0" xfId="0" applyFont="1" applyFill="1" applyAlignment="1">
      <alignment wrapText="1"/>
    </xf>
    <xf numFmtId="0" fontId="47" fillId="2" borderId="0" xfId="0" applyFont="1" applyFill="1" applyAlignment="1">
      <alignment vertical="top"/>
    </xf>
    <xf numFmtId="0" fontId="73" fillId="2" borderId="0" xfId="0" applyFont="1" applyFill="1"/>
    <xf numFmtId="1" fontId="47" fillId="2" borderId="0" xfId="0" applyNumberFormat="1" applyFont="1" applyFill="1"/>
    <xf numFmtId="1" fontId="47" fillId="2" borderId="0" xfId="0" applyNumberFormat="1" applyFont="1" applyFill="1" applyAlignment="1">
      <alignment vertical="top"/>
    </xf>
    <xf numFmtId="0" fontId="25" fillId="2" borderId="0" xfId="0" applyFont="1" applyFill="1" applyAlignment="1">
      <alignment horizontal="left"/>
    </xf>
    <xf numFmtId="166" fontId="25" fillId="6" borderId="7" xfId="0" applyNumberFormat="1" applyFont="1" applyFill="1" applyBorder="1" applyAlignment="1">
      <alignment horizontal="center" vertical="center"/>
    </xf>
    <xf numFmtId="0" fontId="25" fillId="6" borderId="4" xfId="0" applyFont="1" applyFill="1" applyBorder="1" applyAlignment="1">
      <alignment horizontal="left"/>
    </xf>
    <xf numFmtId="14" fontId="25" fillId="0" borderId="7" xfId="0" applyNumberFormat="1" applyFont="1" applyBorder="1" applyAlignment="1" applyProtection="1">
      <alignment horizontal="center" vertical="center"/>
      <protection locked="0"/>
    </xf>
    <xf numFmtId="0" fontId="25" fillId="6" borderId="4" xfId="0" applyFont="1" applyFill="1" applyBorder="1" applyAlignment="1">
      <alignment horizontal="left" wrapText="1"/>
    </xf>
    <xf numFmtId="1" fontId="25" fillId="6" borderId="4" xfId="0" applyNumberFormat="1" applyFont="1" applyFill="1" applyBorder="1" applyAlignment="1">
      <alignment horizontal="center" vertical="center"/>
    </xf>
    <xf numFmtId="1" fontId="25" fillId="6" borderId="22" xfId="0" applyNumberFormat="1" applyFont="1" applyFill="1" applyBorder="1" applyAlignment="1">
      <alignment horizontal="center" vertical="center"/>
    </xf>
    <xf numFmtId="1" fontId="25" fillId="6" borderId="7" xfId="0" applyNumberFormat="1" applyFont="1" applyFill="1" applyBorder="1" applyAlignment="1">
      <alignment horizontal="center" vertical="center"/>
    </xf>
    <xf numFmtId="14" fontId="25" fillId="6" borderId="4" xfId="0" applyNumberFormat="1" applyFont="1" applyFill="1" applyBorder="1" applyAlignment="1" applyProtection="1">
      <alignment horizontal="left" vertical="center" wrapText="1"/>
      <protection locked="0"/>
    </xf>
    <xf numFmtId="4" fontId="25" fillId="0" borderId="4" xfId="1" applyNumberFormat="1" applyFont="1" applyFill="1" applyBorder="1" applyAlignment="1" applyProtection="1">
      <alignment horizontal="center" vertical="center"/>
      <protection locked="0"/>
    </xf>
    <xf numFmtId="4" fontId="25" fillId="0" borderId="2" xfId="1" applyNumberFormat="1" applyFont="1" applyFill="1" applyBorder="1" applyAlignment="1" applyProtection="1">
      <alignment horizontal="center" vertical="center"/>
      <protection locked="0"/>
    </xf>
    <xf numFmtId="0" fontId="26" fillId="5" borderId="58" xfId="0" applyFont="1" applyFill="1" applyBorder="1" applyAlignment="1">
      <alignment horizontal="center" vertical="center" wrapText="1"/>
    </xf>
    <xf numFmtId="0" fontId="26" fillId="5" borderId="35" xfId="0" applyFont="1" applyFill="1" applyBorder="1" applyAlignment="1">
      <alignment horizontal="center" vertical="center" wrapText="1"/>
    </xf>
    <xf numFmtId="0" fontId="25" fillId="6" borderId="24" xfId="0" applyFont="1" applyFill="1" applyBorder="1" applyAlignment="1">
      <alignment horizontal="center" vertical="center"/>
    </xf>
    <xf numFmtId="4" fontId="25" fillId="0" borderId="9" xfId="1" applyNumberFormat="1" applyFont="1" applyFill="1" applyBorder="1" applyAlignment="1" applyProtection="1">
      <alignment horizontal="center" vertical="center"/>
      <protection locked="0"/>
    </xf>
    <xf numFmtId="0" fontId="22" fillId="2" borderId="0" xfId="0" applyFont="1" applyFill="1" applyAlignment="1">
      <alignment vertical="center"/>
    </xf>
    <xf numFmtId="0" fontId="25" fillId="2" borderId="33" xfId="0" applyFont="1" applyFill="1" applyBorder="1" applyAlignment="1">
      <alignment vertical="center"/>
    </xf>
    <xf numFmtId="0" fontId="85" fillId="2" borderId="0" xfId="0" applyFont="1" applyFill="1" applyAlignment="1">
      <alignment horizontal="left"/>
    </xf>
    <xf numFmtId="0" fontId="17" fillId="0" borderId="0" xfId="0" applyFont="1" applyAlignment="1">
      <alignment wrapText="1"/>
    </xf>
    <xf numFmtId="0" fontId="22" fillId="2" borderId="0" xfId="0" applyFont="1" applyFill="1" applyAlignment="1">
      <alignment vertical="center" wrapText="1"/>
    </xf>
    <xf numFmtId="0" fontId="47" fillId="0" borderId="0" xfId="0" applyFont="1" applyAlignment="1">
      <alignment vertical="center" wrapText="1"/>
    </xf>
    <xf numFmtId="0" fontId="8" fillId="0" borderId="0" xfId="0" applyFont="1" applyAlignment="1">
      <alignment wrapText="1"/>
    </xf>
    <xf numFmtId="4" fontId="16" fillId="7" borderId="51" xfId="2" applyNumberFormat="1" applyFill="1" applyBorder="1" applyAlignment="1">
      <alignment wrapText="1"/>
    </xf>
    <xf numFmtId="0" fontId="83" fillId="2" borderId="0" xfId="0" applyFont="1" applyFill="1" applyAlignment="1">
      <alignment horizontal="left"/>
    </xf>
    <xf numFmtId="0" fontId="18" fillId="0" borderId="0" xfId="0" applyFont="1"/>
    <xf numFmtId="0" fontId="0" fillId="3" borderId="0" xfId="0" applyFill="1" applyProtection="1">
      <protection hidden="1"/>
    </xf>
    <xf numFmtId="0" fontId="0" fillId="3" borderId="0" xfId="0" applyFill="1" applyAlignment="1">
      <alignment wrapText="1"/>
    </xf>
    <xf numFmtId="0" fontId="25" fillId="2" borderId="0" xfId="0" applyFont="1" applyFill="1"/>
    <xf numFmtId="0" fontId="23" fillId="2" borderId="0" xfId="0" applyFont="1" applyFill="1"/>
    <xf numFmtId="0" fontId="86" fillId="2" borderId="0" xfId="0" applyFont="1" applyFill="1" applyAlignment="1">
      <alignment horizontal="center" vertical="center"/>
    </xf>
    <xf numFmtId="0" fontId="54" fillId="0" borderId="4" xfId="3" applyNumberFormat="1" applyFont="1" applyBorder="1" applyAlignment="1">
      <alignment wrapText="1"/>
    </xf>
    <xf numFmtId="164" fontId="22" fillId="5" borderId="74" xfId="0" applyNumberFormat="1" applyFont="1" applyFill="1" applyBorder="1" applyAlignment="1">
      <alignment horizontal="center" vertical="center"/>
    </xf>
    <xf numFmtId="164" fontId="22" fillId="7" borderId="1" xfId="0" applyNumberFormat="1" applyFont="1" applyFill="1" applyBorder="1" applyAlignment="1">
      <alignment horizontal="center" vertical="center"/>
    </xf>
    <xf numFmtId="0" fontId="87" fillId="2" borderId="0" xfId="0" applyFont="1" applyFill="1"/>
    <xf numFmtId="12" fontId="25" fillId="6" borderId="4" xfId="0" applyNumberFormat="1" applyFont="1" applyFill="1" applyBorder="1" applyAlignment="1">
      <alignment horizontal="center" vertical="center"/>
    </xf>
    <xf numFmtId="2" fontId="19" fillId="0" borderId="24" xfId="2" applyNumberFormat="1" applyFont="1" applyBorder="1" applyAlignment="1">
      <alignment wrapText="1"/>
    </xf>
    <xf numFmtId="4" fontId="16" fillId="4" borderId="4" xfId="2" applyNumberFormat="1" applyFill="1" applyBorder="1" applyAlignment="1" applyProtection="1">
      <alignment wrapText="1"/>
      <protection locked="0"/>
    </xf>
    <xf numFmtId="0" fontId="26" fillId="5" borderId="54" xfId="0" applyFont="1" applyFill="1" applyBorder="1" applyAlignment="1">
      <alignment horizontal="center" vertical="center" wrapText="1"/>
    </xf>
    <xf numFmtId="4" fontId="26" fillId="5" borderId="35" xfId="0" applyNumberFormat="1" applyFont="1" applyFill="1" applyBorder="1" applyAlignment="1">
      <alignment horizontal="center" vertical="center" wrapText="1"/>
    </xf>
    <xf numFmtId="0" fontId="26" fillId="6" borderId="2" xfId="0" applyFont="1" applyFill="1" applyBorder="1" applyAlignment="1">
      <alignment horizontal="center"/>
    </xf>
    <xf numFmtId="1" fontId="25" fillId="6" borderId="2" xfId="0" applyNumberFormat="1" applyFont="1" applyFill="1" applyBorder="1" applyAlignment="1">
      <alignment horizontal="center" vertical="center"/>
    </xf>
    <xf numFmtId="166" fontId="25" fillId="6" borderId="2" xfId="0" applyNumberFormat="1" applyFont="1" applyFill="1" applyBorder="1" applyAlignment="1">
      <alignment horizontal="center" vertical="center"/>
    </xf>
    <xf numFmtId="0" fontId="25" fillId="2" borderId="0" xfId="0" applyFont="1" applyFill="1" applyAlignment="1">
      <alignment vertical="center"/>
    </xf>
    <xf numFmtId="12" fontId="25" fillId="6" borderId="7" xfId="0" applyNumberFormat="1" applyFont="1" applyFill="1" applyBorder="1" applyAlignment="1">
      <alignment horizontal="center" vertical="center"/>
    </xf>
    <xf numFmtId="3" fontId="16" fillId="7" borderId="42" xfId="2" applyNumberFormat="1" applyFill="1" applyBorder="1" applyAlignment="1" applyProtection="1">
      <alignment wrapText="1"/>
      <protection locked="0"/>
    </xf>
    <xf numFmtId="3" fontId="16" fillId="7" borderId="11" xfId="2" applyNumberFormat="1" applyFill="1" applyBorder="1" applyAlignment="1" applyProtection="1">
      <alignment wrapText="1"/>
      <protection locked="0"/>
    </xf>
    <xf numFmtId="164" fontId="77" fillId="2" borderId="0" xfId="0" applyNumberFormat="1" applyFont="1" applyFill="1"/>
    <xf numFmtId="0" fontId="0" fillId="0" borderId="4" xfId="7" applyFont="1" applyBorder="1" applyAlignment="1">
      <alignment wrapText="1"/>
    </xf>
    <xf numFmtId="4" fontId="0" fillId="4" borderId="4" xfId="7" applyNumberFormat="1" applyFont="1" applyFill="1" applyBorder="1" applyAlignment="1" applyProtection="1">
      <alignment wrapText="1"/>
      <protection locked="0"/>
    </xf>
    <xf numFmtId="0" fontId="17" fillId="0" borderId="0" xfId="7" applyFont="1" applyAlignment="1">
      <alignment horizontal="center" vertical="center"/>
    </xf>
    <xf numFmtId="4" fontId="0" fillId="4" borderId="31" xfId="7" applyNumberFormat="1" applyFont="1" applyFill="1" applyBorder="1" applyAlignment="1" applyProtection="1">
      <alignment wrapText="1"/>
      <protection locked="0"/>
    </xf>
    <xf numFmtId="0" fontId="26" fillId="5" borderId="55" xfId="0" applyFont="1" applyFill="1" applyBorder="1" applyAlignment="1">
      <alignment horizontal="center" vertical="center" wrapText="1"/>
    </xf>
    <xf numFmtId="0" fontId="25" fillId="6" borderId="42" xfId="0" applyFont="1" applyFill="1" applyBorder="1" applyAlignment="1">
      <alignment horizontal="left" vertical="top"/>
    </xf>
    <xf numFmtId="14" fontId="25" fillId="0" borderId="11" xfId="0" applyNumberFormat="1" applyFont="1" applyBorder="1" applyAlignment="1" applyProtection="1">
      <alignment horizontal="center" vertical="center"/>
      <protection locked="0"/>
    </xf>
    <xf numFmtId="0" fontId="25" fillId="6" borderId="42" xfId="0" applyFont="1" applyFill="1" applyBorder="1" applyAlignment="1">
      <alignment horizontal="left" wrapText="1"/>
    </xf>
    <xf numFmtId="0" fontId="21" fillId="0" borderId="0" xfId="0" applyFont="1" applyAlignment="1">
      <alignment horizontal="center"/>
    </xf>
    <xf numFmtId="4" fontId="0" fillId="0" borderId="0" xfId="7" applyNumberFormat="1" applyFont="1" applyAlignment="1">
      <alignment horizontal="center" wrapText="1"/>
    </xf>
    <xf numFmtId="4" fontId="46" fillId="21" borderId="4" xfId="7" applyNumberFormat="1" applyFont="1" applyFill="1" applyBorder="1" applyAlignment="1">
      <alignment horizontal="center" wrapText="1"/>
    </xf>
    <xf numFmtId="0" fontId="21" fillId="0" borderId="0" xfId="0" applyFont="1" applyAlignment="1">
      <alignment horizontal="center" vertical="center"/>
    </xf>
    <xf numFmtId="0" fontId="22" fillId="0" borderId="0" xfId="0" applyFont="1" applyAlignment="1">
      <alignment horizontal="center"/>
    </xf>
    <xf numFmtId="14" fontId="21" fillId="0" borderId="0" xfId="0" applyNumberFormat="1" applyFont="1"/>
    <xf numFmtId="10" fontId="21" fillId="0" borderId="0" xfId="0" applyNumberFormat="1" applyFont="1"/>
    <xf numFmtId="0" fontId="21" fillId="21" borderId="0" xfId="0" applyFont="1" applyFill="1"/>
    <xf numFmtId="0" fontId="0" fillId="22" borderId="4" xfId="0" applyFill="1" applyBorder="1" applyAlignment="1">
      <alignment wrapText="1"/>
    </xf>
    <xf numFmtId="0" fontId="17" fillId="0" borderId="4" xfId="0" applyFont="1" applyBorder="1"/>
    <xf numFmtId="0" fontId="45" fillId="4" borderId="4" xfId="0" applyFont="1" applyFill="1" applyBorder="1" applyAlignment="1">
      <alignment wrapText="1"/>
    </xf>
    <xf numFmtId="0" fontId="0" fillId="4" borderId="4" xfId="0" applyFill="1" applyBorder="1" applyAlignment="1">
      <alignment wrapText="1"/>
    </xf>
    <xf numFmtId="3" fontId="25" fillId="0" borderId="2" xfId="1" applyNumberFormat="1" applyFont="1" applyFill="1" applyBorder="1" applyAlignment="1" applyProtection="1">
      <alignment horizontal="center" vertical="center"/>
      <protection locked="0"/>
    </xf>
    <xf numFmtId="166" fontId="34" fillId="0" borderId="28" xfId="2" applyNumberFormat="1" applyFont="1" applyBorder="1" applyAlignment="1">
      <alignment horizontal="center" wrapText="1"/>
    </xf>
    <xf numFmtId="0" fontId="32" fillId="0" borderId="2" xfId="2" applyFont="1" applyBorder="1" applyAlignment="1">
      <alignment wrapText="1"/>
    </xf>
    <xf numFmtId="166" fontId="32" fillId="0" borderId="16" xfId="2" applyNumberFormat="1" applyFont="1" applyBorder="1" applyAlignment="1">
      <alignment wrapText="1"/>
    </xf>
    <xf numFmtId="0" fontId="37" fillId="0" borderId="39" xfId="2" applyFont="1" applyBorder="1" applyAlignment="1">
      <alignment horizontal="right" wrapText="1"/>
    </xf>
    <xf numFmtId="2" fontId="37" fillId="0" borderId="42" xfId="2" applyNumberFormat="1" applyFont="1" applyBorder="1" applyAlignment="1">
      <alignment horizontal="right" wrapText="1"/>
    </xf>
    <xf numFmtId="166" fontId="34" fillId="0" borderId="42" xfId="2" applyNumberFormat="1" applyFont="1" applyBorder="1" applyAlignment="1">
      <alignment wrapText="1"/>
    </xf>
    <xf numFmtId="2" fontId="37" fillId="0" borderId="46" xfId="2" applyNumberFormat="1" applyFont="1" applyBorder="1" applyAlignment="1">
      <alignment horizontal="right" wrapText="1"/>
    </xf>
    <xf numFmtId="2" fontId="37" fillId="0" borderId="42" xfId="2" applyNumberFormat="1" applyFont="1" applyBorder="1" applyAlignment="1">
      <alignment wrapText="1"/>
    </xf>
    <xf numFmtId="2" fontId="37" fillId="0" borderId="46" xfId="2" applyNumberFormat="1" applyFont="1" applyBorder="1" applyAlignment="1">
      <alignment wrapText="1"/>
    </xf>
    <xf numFmtId="0" fontId="37" fillId="3" borderId="11" xfId="2" applyFont="1" applyFill="1" applyBorder="1" applyAlignment="1">
      <alignment wrapText="1"/>
    </xf>
    <xf numFmtId="0" fontId="37" fillId="3" borderId="46" xfId="2" applyFont="1" applyFill="1" applyBorder="1" applyAlignment="1">
      <alignment wrapText="1"/>
    </xf>
    <xf numFmtId="0" fontId="17" fillId="0" borderId="76" xfId="2" applyFont="1" applyBorder="1" applyAlignment="1">
      <alignment horizontal="center" vertical="center" wrapText="1"/>
    </xf>
    <xf numFmtId="166" fontId="33" fillId="0" borderId="37" xfId="2" applyNumberFormat="1" applyFont="1" applyBorder="1" applyAlignment="1">
      <alignment wrapText="1"/>
    </xf>
    <xf numFmtId="166" fontId="33" fillId="0" borderId="40" xfId="2" applyNumberFormat="1" applyFont="1" applyBorder="1" applyAlignment="1">
      <alignment wrapText="1"/>
    </xf>
    <xf numFmtId="166" fontId="32" fillId="0" borderId="19" xfId="2" applyNumberFormat="1" applyFont="1" applyBorder="1" applyAlignment="1">
      <alignment wrapText="1"/>
    </xf>
    <xf numFmtId="166" fontId="32" fillId="0" borderId="43" xfId="2" applyNumberFormat="1" applyFont="1" applyBorder="1" applyAlignment="1">
      <alignment wrapText="1"/>
    </xf>
    <xf numFmtId="4" fontId="36" fillId="0" borderId="71" xfId="2" applyNumberFormat="1" applyFont="1" applyBorder="1" applyAlignment="1">
      <alignment wrapText="1"/>
    </xf>
    <xf numFmtId="4" fontId="36" fillId="0" borderId="30" xfId="2" applyNumberFormat="1" applyFont="1" applyBorder="1" applyAlignment="1">
      <alignment wrapText="1"/>
    </xf>
    <xf numFmtId="0" fontId="33" fillId="0" borderId="34" xfId="2" applyFont="1" applyBorder="1" applyAlignment="1">
      <alignment wrapText="1"/>
    </xf>
    <xf numFmtId="0" fontId="33" fillId="3" borderId="29" xfId="2" applyFont="1" applyFill="1" applyBorder="1" applyAlignment="1">
      <alignment wrapText="1"/>
    </xf>
    <xf numFmtId="4" fontId="42" fillId="3" borderId="21" xfId="2" applyNumberFormat="1" applyFont="1" applyFill="1" applyBorder="1" applyAlignment="1">
      <alignment wrapText="1"/>
    </xf>
    <xf numFmtId="0" fontId="33" fillId="3" borderId="45" xfId="2" applyFont="1" applyFill="1" applyBorder="1" applyAlignment="1">
      <alignment wrapText="1"/>
    </xf>
    <xf numFmtId="4" fontId="42" fillId="3" borderId="3" xfId="2" applyNumberFormat="1" applyFont="1" applyFill="1" applyBorder="1" applyAlignment="1">
      <alignment wrapText="1"/>
    </xf>
    <xf numFmtId="166" fontId="32" fillId="0" borderId="13" xfId="2" applyNumberFormat="1" applyFont="1" applyBorder="1" applyAlignment="1">
      <alignment wrapText="1"/>
    </xf>
    <xf numFmtId="166" fontId="32" fillId="0" borderId="22" xfId="2" applyNumberFormat="1" applyFont="1" applyBorder="1" applyAlignment="1">
      <alignment wrapText="1"/>
    </xf>
    <xf numFmtId="166" fontId="33" fillId="15" borderId="1" xfId="2" applyNumberFormat="1" applyFont="1" applyFill="1" applyBorder="1" applyAlignment="1">
      <alignment wrapText="1"/>
    </xf>
    <xf numFmtId="166" fontId="42" fillId="15" borderId="1" xfId="2" applyNumberFormat="1" applyFont="1" applyFill="1" applyBorder="1" applyAlignment="1">
      <alignment wrapText="1"/>
    </xf>
    <xf numFmtId="4" fontId="36" fillId="0" borderId="75" xfId="2" applyNumberFormat="1" applyFont="1" applyBorder="1" applyAlignment="1">
      <alignment wrapText="1"/>
    </xf>
    <xf numFmtId="0" fontId="0" fillId="7" borderId="0" xfId="0" applyFill="1" applyAlignment="1">
      <alignment wrapText="1"/>
    </xf>
    <xf numFmtId="0" fontId="0" fillId="0" borderId="4" xfId="2" applyFont="1" applyBorder="1" applyAlignment="1">
      <alignment wrapText="1"/>
    </xf>
    <xf numFmtId="2" fontId="19" fillId="0" borderId="4" xfId="0" applyNumberFormat="1" applyFont="1" applyBorder="1" applyAlignment="1">
      <alignment wrapText="1"/>
    </xf>
    <xf numFmtId="0" fontId="28" fillId="0" borderId="4" xfId="0" applyFont="1" applyBorder="1" applyAlignment="1">
      <alignment horizontal="center" vertical="center" wrapText="1"/>
    </xf>
    <xf numFmtId="0" fontId="22" fillId="2" borderId="0" xfId="0" applyFont="1" applyFill="1" applyProtection="1">
      <protection locked="0"/>
    </xf>
    <xf numFmtId="14" fontId="21" fillId="2" borderId="0" xfId="0" applyNumberFormat="1" applyFont="1" applyFill="1" applyProtection="1">
      <protection locked="0"/>
    </xf>
    <xf numFmtId="14" fontId="77" fillId="2" borderId="0" xfId="0" applyNumberFormat="1" applyFont="1" applyFill="1" applyAlignment="1" applyProtection="1">
      <alignment horizontal="right"/>
      <protection locked="0"/>
    </xf>
    <xf numFmtId="0" fontId="21" fillId="2" borderId="0" xfId="0" applyFont="1" applyFill="1" applyProtection="1">
      <protection locked="0"/>
    </xf>
    <xf numFmtId="0" fontId="27" fillId="2" borderId="0" xfId="0" applyFont="1" applyFill="1" applyProtection="1">
      <protection locked="0"/>
    </xf>
    <xf numFmtId="164" fontId="26" fillId="6" borderId="23" xfId="0" applyNumberFormat="1" applyFont="1" applyFill="1" applyBorder="1" applyAlignment="1">
      <alignment horizontal="center" vertical="center"/>
    </xf>
    <xf numFmtId="164" fontId="26" fillId="6" borderId="24" xfId="0" applyNumberFormat="1" applyFont="1" applyFill="1" applyBorder="1" applyAlignment="1">
      <alignment horizontal="center" vertical="center"/>
    </xf>
    <xf numFmtId="164" fontId="26" fillId="6" borderId="21" xfId="0" applyNumberFormat="1" applyFont="1" applyFill="1" applyBorder="1" applyAlignment="1">
      <alignment horizontal="center" vertical="center"/>
    </xf>
    <xf numFmtId="164" fontId="26" fillId="6" borderId="3" xfId="0" applyNumberFormat="1" applyFont="1" applyFill="1" applyBorder="1" applyAlignment="1">
      <alignment horizontal="center" vertical="center"/>
    </xf>
    <xf numFmtId="0" fontId="25" fillId="6" borderId="22" xfId="0" applyFont="1" applyFill="1" applyBorder="1" applyAlignment="1">
      <alignment horizontal="center" vertical="center"/>
    </xf>
    <xf numFmtId="0" fontId="25" fillId="6" borderId="2" xfId="0" applyFont="1" applyFill="1" applyBorder="1" applyAlignment="1">
      <alignment horizontal="center" vertical="center"/>
    </xf>
    <xf numFmtId="3" fontId="25" fillId="0" borderId="4" xfId="1" applyNumberFormat="1" applyFont="1" applyFill="1" applyBorder="1" applyAlignment="1" applyProtection="1">
      <alignment horizontal="center" vertical="center"/>
      <protection locked="0"/>
    </xf>
    <xf numFmtId="3" fontId="25" fillId="0" borderId="22" xfId="1" applyNumberFormat="1" applyFont="1" applyFill="1" applyBorder="1" applyAlignment="1" applyProtection="1">
      <alignment horizontal="center" vertical="center"/>
      <protection locked="0"/>
    </xf>
    <xf numFmtId="14" fontId="22" fillId="0" borderId="0" xfId="0" applyNumberFormat="1" applyFont="1"/>
    <xf numFmtId="14" fontId="88" fillId="0" borderId="45" xfId="1" applyNumberFormat="1" applyFont="1" applyFill="1" applyBorder="1" applyAlignment="1" applyProtection="1">
      <alignment horizontal="center" vertical="center"/>
      <protection locked="0"/>
    </xf>
    <xf numFmtId="4" fontId="0" fillId="0" borderId="31" xfId="7" applyNumberFormat="1" applyFont="1" applyBorder="1" applyAlignment="1">
      <alignment horizontal="center" wrapText="1"/>
    </xf>
    <xf numFmtId="14" fontId="16" fillId="0" borderId="0" xfId="2" applyNumberFormat="1" applyProtection="1">
      <protection locked="0"/>
    </xf>
    <xf numFmtId="0" fontId="89" fillId="0" borderId="4" xfId="7" applyFont="1" applyBorder="1" applyAlignment="1">
      <alignment wrapText="1"/>
    </xf>
    <xf numFmtId="4" fontId="89" fillId="4" borderId="31" xfId="7" applyNumberFormat="1" applyFont="1" applyFill="1" applyBorder="1" applyAlignment="1" applyProtection="1">
      <alignment wrapText="1"/>
      <protection locked="0"/>
    </xf>
    <xf numFmtId="4" fontId="89" fillId="0" borderId="31" xfId="7" applyNumberFormat="1" applyFont="1" applyBorder="1" applyAlignment="1">
      <alignment horizontal="center" wrapText="1"/>
    </xf>
    <xf numFmtId="0" fontId="91" fillId="6" borderId="4" xfId="0" applyFont="1" applyFill="1" applyBorder="1" applyAlignment="1">
      <alignment horizontal="center"/>
    </xf>
    <xf numFmtId="1" fontId="90" fillId="6" borderId="4" xfId="0" applyNumberFormat="1" applyFont="1" applyFill="1" applyBorder="1" applyAlignment="1">
      <alignment horizontal="center" vertical="center"/>
    </xf>
    <xf numFmtId="12" fontId="90" fillId="6" borderId="4" xfId="0" applyNumberFormat="1" applyFont="1" applyFill="1" applyBorder="1" applyAlignment="1">
      <alignment horizontal="center" vertical="center"/>
    </xf>
    <xf numFmtId="166" fontId="90" fillId="6" borderId="4" xfId="0" applyNumberFormat="1" applyFont="1" applyFill="1" applyBorder="1" applyAlignment="1">
      <alignment horizontal="center" vertical="center"/>
    </xf>
    <xf numFmtId="164" fontId="91" fillId="6" borderId="24" xfId="0" applyNumberFormat="1" applyFont="1" applyFill="1" applyBorder="1" applyAlignment="1">
      <alignment horizontal="center" vertical="center"/>
    </xf>
    <xf numFmtId="0" fontId="93" fillId="2" borderId="0" xfId="0" applyFont="1" applyFill="1"/>
    <xf numFmtId="0" fontId="94" fillId="0" borderId="4" xfId="7" applyFont="1" applyBorder="1" applyAlignment="1">
      <alignment wrapText="1"/>
    </xf>
    <xf numFmtId="169" fontId="94" fillId="0" borderId="31" xfId="7" applyNumberFormat="1" applyFont="1" applyBorder="1" applyAlignment="1">
      <alignment wrapText="1"/>
    </xf>
    <xf numFmtId="4" fontId="89" fillId="0" borderId="4" xfId="7" applyNumberFormat="1" applyFont="1" applyBorder="1" applyAlignment="1">
      <alignment horizontal="center" wrapText="1"/>
    </xf>
    <xf numFmtId="3" fontId="90" fillId="0" borderId="4" xfId="1" applyNumberFormat="1" applyFont="1" applyFill="1" applyBorder="1" applyAlignment="1" applyProtection="1">
      <alignment horizontal="center" vertical="center"/>
      <protection locked="0"/>
    </xf>
    <xf numFmtId="0" fontId="90" fillId="6" borderId="4" xfId="0" applyFont="1" applyFill="1" applyBorder="1" applyAlignment="1">
      <alignment horizontal="center" vertical="center"/>
    </xf>
    <xf numFmtId="0" fontId="90" fillId="2" borderId="0" xfId="0" applyFont="1" applyFill="1" applyAlignment="1">
      <alignment vertical="center"/>
    </xf>
    <xf numFmtId="1" fontId="93" fillId="2" borderId="0" xfId="0" applyNumberFormat="1" applyFont="1" applyFill="1" applyAlignment="1">
      <alignment horizontal="left"/>
    </xf>
    <xf numFmtId="4" fontId="95" fillId="2" borderId="0" xfId="0" applyNumberFormat="1" applyFont="1" applyFill="1" applyAlignment="1">
      <alignment horizontal="right" vertical="center"/>
    </xf>
    <xf numFmtId="0" fontId="93" fillId="2" borderId="0" xfId="0" applyFont="1" applyFill="1" applyAlignment="1">
      <alignment wrapText="1"/>
    </xf>
    <xf numFmtId="3" fontId="90" fillId="0" borderId="2" xfId="1" applyNumberFormat="1" applyFont="1" applyFill="1" applyBorder="1" applyAlignment="1" applyProtection="1">
      <alignment horizontal="center" vertical="center"/>
      <protection locked="0"/>
    </xf>
    <xf numFmtId="0" fontId="91" fillId="6" borderId="2" xfId="0" applyFont="1" applyFill="1" applyBorder="1" applyAlignment="1">
      <alignment horizontal="center"/>
    </xf>
    <xf numFmtId="1" fontId="90" fillId="6" borderId="2" xfId="0" applyNumberFormat="1" applyFont="1" applyFill="1" applyBorder="1" applyAlignment="1">
      <alignment horizontal="center" vertical="center"/>
    </xf>
    <xf numFmtId="0" fontId="90" fillId="6" borderId="2" xfId="0" applyFont="1" applyFill="1" applyBorder="1" applyAlignment="1">
      <alignment horizontal="center" vertical="center"/>
    </xf>
    <xf numFmtId="166" fontId="90" fillId="6" borderId="2" xfId="0" applyNumberFormat="1" applyFont="1" applyFill="1" applyBorder="1" applyAlignment="1">
      <alignment horizontal="center" vertical="center"/>
    </xf>
    <xf numFmtId="164" fontId="91" fillId="6" borderId="3" xfId="0" applyNumberFormat="1" applyFont="1" applyFill="1" applyBorder="1" applyAlignment="1">
      <alignment horizontal="center" vertical="center"/>
    </xf>
    <xf numFmtId="4" fontId="25" fillId="0" borderId="7" xfId="1" applyNumberFormat="1" applyFont="1" applyFill="1" applyBorder="1" applyAlignment="1" applyProtection="1">
      <alignment horizontal="center" vertical="center"/>
      <protection locked="0"/>
    </xf>
    <xf numFmtId="3" fontId="90" fillId="0" borderId="9" xfId="1" applyNumberFormat="1" applyFont="1" applyFill="1" applyBorder="1" applyAlignment="1" applyProtection="1">
      <alignment horizontal="center" vertical="center"/>
      <protection locked="0"/>
    </xf>
    <xf numFmtId="0" fontId="91" fillId="6" borderId="9" xfId="0" applyFont="1" applyFill="1" applyBorder="1" applyAlignment="1">
      <alignment horizontal="center"/>
    </xf>
    <xf numFmtId="1" fontId="90" fillId="6" borderId="9" xfId="0" applyNumberFormat="1" applyFont="1" applyFill="1" applyBorder="1" applyAlignment="1">
      <alignment horizontal="center" vertical="center"/>
    </xf>
    <xf numFmtId="0" fontId="90" fillId="6" borderId="9" xfId="0" applyFont="1" applyFill="1" applyBorder="1" applyAlignment="1">
      <alignment horizontal="center" vertical="center"/>
    </xf>
    <xf numFmtId="166" fontId="90" fillId="6" borderId="9" xfId="0" applyNumberFormat="1" applyFont="1" applyFill="1" applyBorder="1" applyAlignment="1">
      <alignment horizontal="center" vertical="center"/>
    </xf>
    <xf numFmtId="164" fontId="91" fillId="6" borderId="20" xfId="0" applyNumberFormat="1" applyFont="1" applyFill="1" applyBorder="1" applyAlignment="1">
      <alignment horizontal="center" vertical="center"/>
    </xf>
    <xf numFmtId="165" fontId="19" fillId="0" borderId="4" xfId="0" applyNumberFormat="1" applyFont="1" applyBorder="1" applyAlignment="1">
      <alignment wrapText="1"/>
    </xf>
    <xf numFmtId="166" fontId="19" fillId="0" borderId="4" xfId="0" applyNumberFormat="1" applyFont="1" applyBorder="1" applyAlignment="1">
      <alignment wrapText="1"/>
    </xf>
    <xf numFmtId="0" fontId="19" fillId="0" borderId="4" xfId="2" applyFont="1" applyBorder="1" applyAlignment="1">
      <alignment wrapText="1"/>
    </xf>
    <xf numFmtId="0" fontId="19" fillId="0" borderId="4" xfId="2" applyFont="1" applyBorder="1" applyAlignment="1" applyProtection="1">
      <alignment wrapText="1"/>
      <protection locked="0"/>
    </xf>
    <xf numFmtId="2" fontId="19" fillId="13" borderId="4" xfId="0" applyNumberFormat="1" applyFont="1" applyFill="1" applyBorder="1" applyAlignment="1">
      <alignment wrapText="1"/>
    </xf>
    <xf numFmtId="0" fontId="19" fillId="0" borderId="0" xfId="2" applyFont="1" applyAlignment="1">
      <alignment wrapText="1"/>
    </xf>
    <xf numFmtId="0" fontId="41" fillId="0" borderId="0" xfId="2" applyFont="1"/>
    <xf numFmtId="0" fontId="34" fillId="0" borderId="0" xfId="2" applyFont="1"/>
    <xf numFmtId="0" fontId="96" fillId="0" borderId="0" xfId="2" applyFont="1"/>
    <xf numFmtId="3" fontId="16" fillId="6" borderId="49" xfId="2" applyNumberFormat="1" applyFill="1" applyBorder="1" applyAlignment="1">
      <alignment horizontal="right" wrapText="1"/>
    </xf>
    <xf numFmtId="3" fontId="16" fillId="6" borderId="44" xfId="2" applyNumberFormat="1" applyFill="1" applyBorder="1" applyAlignment="1">
      <alignment horizontal="right" wrapText="1"/>
    </xf>
    <xf numFmtId="3" fontId="16" fillId="6" borderId="47" xfId="2" applyNumberFormat="1" applyFill="1" applyBorder="1" applyAlignment="1">
      <alignment horizontal="right" wrapText="1"/>
    </xf>
    <xf numFmtId="170" fontId="19" fillId="13" borderId="4" xfId="0" applyNumberFormat="1" applyFont="1" applyFill="1" applyBorder="1" applyAlignment="1">
      <alignment wrapText="1"/>
    </xf>
    <xf numFmtId="171" fontId="19" fillId="13" borderId="4" xfId="0" applyNumberFormat="1" applyFont="1" applyFill="1" applyBorder="1" applyAlignment="1">
      <alignment wrapText="1"/>
    </xf>
    <xf numFmtId="165" fontId="19" fillId="13" borderId="4" xfId="0" applyNumberFormat="1" applyFont="1" applyFill="1" applyBorder="1" applyAlignment="1">
      <alignment wrapText="1"/>
    </xf>
    <xf numFmtId="0" fontId="19" fillId="13" borderId="4" xfId="0" applyFont="1" applyFill="1" applyBorder="1" applyAlignment="1">
      <alignment wrapText="1"/>
    </xf>
    <xf numFmtId="14" fontId="0" fillId="13" borderId="4" xfId="0" applyNumberFormat="1" applyFill="1" applyBorder="1" applyAlignment="1">
      <alignment wrapText="1"/>
    </xf>
    <xf numFmtId="4" fontId="19" fillId="0" borderId="21" xfId="2" applyNumberFormat="1" applyFont="1" applyBorder="1" applyAlignment="1">
      <alignment wrapText="1"/>
    </xf>
    <xf numFmtId="4" fontId="44" fillId="3" borderId="35" xfId="2" applyNumberFormat="1" applyFont="1" applyFill="1" applyBorder="1" applyAlignment="1">
      <alignment wrapText="1"/>
    </xf>
    <xf numFmtId="4" fontId="19" fillId="13" borderId="4" xfId="0" applyNumberFormat="1" applyFont="1" applyFill="1" applyBorder="1" applyAlignment="1">
      <alignment wrapText="1"/>
    </xf>
    <xf numFmtId="168" fontId="25" fillId="2" borderId="0" xfId="0" applyNumberFormat="1" applyFont="1" applyFill="1" applyAlignment="1">
      <alignment vertical="center"/>
    </xf>
    <xf numFmtId="3" fontId="0" fillId="4" borderId="0" xfId="0" applyNumberFormat="1" applyFill="1"/>
    <xf numFmtId="166" fontId="98" fillId="15" borderId="9" xfId="2" applyNumberFormat="1" applyFont="1" applyFill="1" applyBorder="1" applyAlignment="1">
      <alignment wrapText="1"/>
    </xf>
    <xf numFmtId="4" fontId="43" fillId="0" borderId="0" xfId="0" applyNumberFormat="1" applyFont="1"/>
    <xf numFmtId="166" fontId="98" fillId="15" borderId="4" xfId="2" applyNumberFormat="1" applyFont="1" applyFill="1" applyBorder="1" applyAlignment="1">
      <alignment wrapText="1"/>
    </xf>
    <xf numFmtId="166" fontId="98" fillId="15" borderId="2" xfId="2" applyNumberFormat="1" applyFont="1" applyFill="1" applyBorder="1" applyAlignment="1">
      <alignment wrapText="1"/>
    </xf>
    <xf numFmtId="166" fontId="98" fillId="15" borderId="58" xfId="2" applyNumberFormat="1" applyFont="1" applyFill="1" applyBorder="1" applyAlignment="1">
      <alignment wrapText="1"/>
    </xf>
    <xf numFmtId="166" fontId="98" fillId="15" borderId="8" xfId="2" applyNumberFormat="1" applyFont="1" applyFill="1" applyBorder="1" applyAlignment="1">
      <alignment wrapText="1"/>
    </xf>
    <xf numFmtId="0" fontId="19" fillId="0" borderId="0" xfId="0" applyFont="1"/>
    <xf numFmtId="0" fontId="99" fillId="0" borderId="0" xfId="0" applyFont="1"/>
    <xf numFmtId="3" fontId="19" fillId="0" borderId="0" xfId="0" applyNumberFormat="1" applyFont="1"/>
    <xf numFmtId="4" fontId="19" fillId="0" borderId="0" xfId="0" applyNumberFormat="1" applyFont="1"/>
    <xf numFmtId="0" fontId="99" fillId="0" borderId="0" xfId="0" applyFont="1" applyAlignment="1">
      <alignment vertical="center"/>
    </xf>
    <xf numFmtId="1" fontId="19" fillId="0" borderId="0" xfId="0" applyNumberFormat="1" applyFont="1"/>
    <xf numFmtId="0" fontId="44" fillId="0" borderId="0" xfId="0" applyFont="1"/>
    <xf numFmtId="0" fontId="22" fillId="2" borderId="0" xfId="0" applyFont="1" applyFill="1" applyAlignment="1">
      <alignment horizontal="left" vertical="center" wrapText="1"/>
    </xf>
    <xf numFmtId="0" fontId="77" fillId="2" borderId="0" xfId="0" applyFont="1" applyFill="1" applyAlignment="1">
      <alignment horizontal="right"/>
    </xf>
    <xf numFmtId="0" fontId="84" fillId="2" borderId="0" xfId="0" applyFont="1" applyFill="1" applyAlignment="1">
      <alignment horizontal="left" vertical="center" wrapText="1"/>
    </xf>
    <xf numFmtId="1" fontId="25" fillId="6" borderId="22" xfId="0" applyNumberFormat="1" applyFont="1" applyFill="1" applyBorder="1" applyAlignment="1">
      <alignment horizontal="center" vertical="center" wrapText="1"/>
    </xf>
    <xf numFmtId="1" fontId="25" fillId="6" borderId="4" xfId="0" applyNumberFormat="1" applyFont="1" applyFill="1" applyBorder="1" applyAlignment="1">
      <alignment horizontal="center" vertical="center" wrapText="1"/>
    </xf>
    <xf numFmtId="1" fontId="25" fillId="6" borderId="7" xfId="0" applyNumberFormat="1" applyFont="1" applyFill="1" applyBorder="1" applyAlignment="1">
      <alignment horizontal="center" vertical="center" wrapText="1"/>
    </xf>
    <xf numFmtId="0" fontId="25" fillId="6" borderId="40" xfId="0" applyFont="1" applyFill="1" applyBorder="1" applyAlignment="1">
      <alignment horizontal="left" wrapText="1"/>
    </xf>
    <xf numFmtId="0" fontId="25" fillId="6" borderId="4" xfId="0" applyFont="1" applyFill="1" applyBorder="1" applyAlignment="1">
      <alignment horizontal="left" wrapText="1"/>
    </xf>
    <xf numFmtId="0" fontId="25" fillId="6" borderId="45" xfId="0" applyFont="1" applyFill="1" applyBorder="1" applyAlignment="1">
      <alignment horizontal="left" wrapText="1"/>
    </xf>
    <xf numFmtId="0" fontId="25" fillId="6" borderId="2" xfId="0" applyFont="1" applyFill="1" applyBorder="1" applyAlignment="1">
      <alignment horizontal="left" wrapText="1"/>
    </xf>
    <xf numFmtId="0" fontId="25" fillId="6" borderId="16" xfId="0" applyFont="1" applyFill="1" applyBorder="1" applyAlignment="1">
      <alignment horizontal="left"/>
    </xf>
    <xf numFmtId="0" fontId="25" fillId="6" borderId="9" xfId="0" applyFont="1" applyFill="1" applyBorder="1" applyAlignment="1">
      <alignment horizontal="left"/>
    </xf>
    <xf numFmtId="3" fontId="25" fillId="0" borderId="9" xfId="1" applyNumberFormat="1" applyFont="1" applyFill="1" applyBorder="1" applyAlignment="1" applyProtection="1">
      <alignment horizontal="center" vertical="center"/>
      <protection locked="0"/>
    </xf>
    <xf numFmtId="3" fontId="25" fillId="0" borderId="4" xfId="1" applyNumberFormat="1" applyFont="1" applyFill="1" applyBorder="1" applyAlignment="1" applyProtection="1">
      <alignment horizontal="center" vertical="center"/>
      <protection locked="0"/>
    </xf>
    <xf numFmtId="3" fontId="25" fillId="0" borderId="7" xfId="1" applyNumberFormat="1" applyFont="1" applyFill="1" applyBorder="1" applyAlignment="1" applyProtection="1">
      <alignment horizontal="center" vertical="center"/>
      <protection locked="0"/>
    </xf>
    <xf numFmtId="0" fontId="26" fillId="6" borderId="22"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7" xfId="0" applyFont="1" applyFill="1" applyBorder="1" applyAlignment="1">
      <alignment horizontal="center" vertical="center"/>
    </xf>
    <xf numFmtId="0" fontId="25" fillId="6" borderId="39" xfId="0" applyFont="1" applyFill="1" applyBorder="1" applyAlignment="1">
      <alignment horizontal="left" wrapText="1"/>
    </xf>
    <xf numFmtId="0" fontId="25" fillId="6" borderId="22" xfId="0" applyFont="1" applyFill="1" applyBorder="1" applyAlignment="1">
      <alignment horizontal="left" wrapText="1"/>
    </xf>
    <xf numFmtId="0" fontId="26" fillId="6" borderId="9" xfId="0" applyFont="1" applyFill="1" applyBorder="1" applyAlignment="1">
      <alignment horizontal="center" vertical="center"/>
    </xf>
    <xf numFmtId="3" fontId="25" fillId="0" borderId="58" xfId="1" applyNumberFormat="1" applyFont="1" applyFill="1" applyBorder="1" applyAlignment="1" applyProtection="1">
      <alignment horizontal="center" vertical="center"/>
      <protection locked="0"/>
    </xf>
    <xf numFmtId="3" fontId="25" fillId="0" borderId="8" xfId="1" applyNumberFormat="1" applyFont="1" applyFill="1" applyBorder="1" applyAlignment="1" applyProtection="1">
      <alignment horizontal="center" vertical="center"/>
      <protection locked="0"/>
    </xf>
    <xf numFmtId="3" fontId="25" fillId="0" borderId="27" xfId="1" applyNumberFormat="1" applyFont="1" applyFill="1" applyBorder="1" applyAlignment="1" applyProtection="1">
      <alignment horizontal="center" vertical="center"/>
      <protection locked="0"/>
    </xf>
    <xf numFmtId="164" fontId="26" fillId="6" borderId="20" xfId="0" applyNumberFormat="1" applyFont="1" applyFill="1" applyBorder="1" applyAlignment="1">
      <alignment horizontal="center" vertical="center"/>
    </xf>
    <xf numFmtId="164" fontId="26" fillId="6" borderId="24" xfId="0" applyNumberFormat="1" applyFont="1" applyFill="1" applyBorder="1" applyAlignment="1">
      <alignment horizontal="center" vertical="center"/>
    </xf>
    <xf numFmtId="164" fontId="26" fillId="6" borderId="21" xfId="0" applyNumberFormat="1" applyFont="1" applyFill="1" applyBorder="1" applyAlignment="1">
      <alignment horizontal="center" vertical="center"/>
    </xf>
    <xf numFmtId="1" fontId="25" fillId="6" borderId="9" xfId="0" applyNumberFormat="1" applyFont="1" applyFill="1" applyBorder="1" applyAlignment="1">
      <alignment horizontal="center" vertical="center" wrapText="1"/>
    </xf>
    <xf numFmtId="167" fontId="25" fillId="6" borderId="9" xfId="0" applyNumberFormat="1" applyFont="1" applyFill="1" applyBorder="1" applyAlignment="1">
      <alignment horizontal="center" vertical="center"/>
    </xf>
    <xf numFmtId="167" fontId="25" fillId="6" borderId="4" xfId="0" applyNumberFormat="1" applyFont="1" applyFill="1" applyBorder="1" applyAlignment="1">
      <alignment horizontal="center" vertical="center"/>
    </xf>
    <xf numFmtId="167" fontId="25" fillId="6" borderId="7" xfId="0" applyNumberFormat="1" applyFont="1" applyFill="1" applyBorder="1" applyAlignment="1">
      <alignment horizontal="center" vertical="center"/>
    </xf>
    <xf numFmtId="167" fontId="25" fillId="6" borderId="22" xfId="0" applyNumberFormat="1" applyFont="1" applyFill="1" applyBorder="1" applyAlignment="1">
      <alignment horizontal="center" vertical="center"/>
    </xf>
    <xf numFmtId="0" fontId="22" fillId="5" borderId="61" xfId="0" applyFont="1" applyFill="1" applyBorder="1" applyAlignment="1">
      <alignment horizontal="left" vertical="center"/>
    </xf>
    <xf numFmtId="0" fontId="22" fillId="5" borderId="62" xfId="0" applyFont="1" applyFill="1" applyBorder="1" applyAlignment="1">
      <alignment horizontal="left" vertical="center"/>
    </xf>
    <xf numFmtId="0" fontId="22" fillId="5" borderId="63" xfId="0" applyFont="1" applyFill="1" applyBorder="1" applyAlignment="1">
      <alignment horizontal="left" vertical="center"/>
    </xf>
    <xf numFmtId="0" fontId="25" fillId="5" borderId="68" xfId="0" applyFont="1" applyFill="1" applyBorder="1" applyAlignment="1">
      <alignment horizontal="center" wrapText="1"/>
    </xf>
    <xf numFmtId="0" fontId="25" fillId="5" borderId="54" xfId="0" applyFont="1" applyFill="1" applyBorder="1" applyAlignment="1">
      <alignment horizontal="center" wrapText="1"/>
    </xf>
    <xf numFmtId="0" fontId="25" fillId="6" borderId="37" xfId="0" applyFont="1" applyFill="1" applyBorder="1" applyAlignment="1">
      <alignment horizontal="left" wrapText="1"/>
    </xf>
    <xf numFmtId="0" fontId="25" fillId="6" borderId="45"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32" xfId="0" applyFont="1" applyFill="1" applyBorder="1" applyAlignment="1">
      <alignment horizontal="left" vertical="center" wrapText="1"/>
    </xf>
    <xf numFmtId="0" fontId="25" fillId="6" borderId="27" xfId="0" applyFont="1" applyFill="1" applyBorder="1" applyAlignment="1">
      <alignment horizontal="left" vertical="center" wrapText="1"/>
    </xf>
    <xf numFmtId="0" fontId="25" fillId="6" borderId="22" xfId="0" applyFont="1" applyFill="1" applyBorder="1" applyAlignment="1">
      <alignment horizontal="center" vertical="center"/>
    </xf>
    <xf numFmtId="0" fontId="25" fillId="6" borderId="23" xfId="0" applyFont="1" applyFill="1" applyBorder="1" applyAlignment="1">
      <alignment horizontal="center" vertical="center"/>
    </xf>
    <xf numFmtId="0" fontId="25" fillId="6" borderId="64" xfId="0" applyFont="1" applyFill="1" applyBorder="1" applyAlignment="1">
      <alignment horizontal="left" vertical="center"/>
    </xf>
    <xf numFmtId="0" fontId="25" fillId="6" borderId="65" xfId="0" applyFont="1" applyFill="1" applyBorder="1" applyAlignment="1">
      <alignment horizontal="left" vertical="center"/>
    </xf>
    <xf numFmtId="0" fontId="74" fillId="6" borderId="53" xfId="0" applyFont="1" applyFill="1" applyBorder="1" applyAlignment="1">
      <alignment horizontal="left" vertical="center" wrapText="1"/>
    </xf>
    <xf numFmtId="0" fontId="74" fillId="6" borderId="52" xfId="0" applyFont="1" applyFill="1" applyBorder="1" applyAlignment="1">
      <alignment horizontal="left" vertical="center" wrapText="1"/>
    </xf>
    <xf numFmtId="0" fontId="74" fillId="6" borderId="51" xfId="0" applyFont="1" applyFill="1" applyBorder="1" applyAlignment="1">
      <alignment horizontal="left" vertical="center" wrapText="1"/>
    </xf>
    <xf numFmtId="0" fontId="25" fillId="6" borderId="37" xfId="0" applyFont="1" applyFill="1" applyBorder="1" applyAlignment="1">
      <alignment horizontal="left" vertical="center" wrapText="1"/>
    </xf>
    <xf numFmtId="0" fontId="25" fillId="6" borderId="22" xfId="0" applyFont="1" applyFill="1" applyBorder="1" applyAlignment="1">
      <alignment horizontal="left" vertical="center" wrapText="1"/>
    </xf>
    <xf numFmtId="4" fontId="25" fillId="6" borderId="58" xfId="1" applyNumberFormat="1" applyFont="1" applyFill="1" applyBorder="1" applyAlignment="1" applyProtection="1">
      <alignment horizontal="center" vertical="center"/>
    </xf>
    <xf numFmtId="4" fontId="25" fillId="6" borderId="27" xfId="1" applyNumberFormat="1" applyFont="1" applyFill="1" applyBorder="1" applyAlignment="1" applyProtection="1">
      <alignment horizontal="center" vertical="center"/>
    </xf>
    <xf numFmtId="0" fontId="26" fillId="6" borderId="58" xfId="0" applyFont="1" applyFill="1" applyBorder="1" applyAlignment="1">
      <alignment horizontal="center" vertical="center"/>
    </xf>
    <xf numFmtId="0" fontId="26" fillId="6" borderId="27" xfId="0" applyFont="1" applyFill="1" applyBorder="1" applyAlignment="1">
      <alignment horizontal="center" vertical="center"/>
    </xf>
    <xf numFmtId="0" fontId="26" fillId="6" borderId="58" xfId="0" applyFont="1" applyFill="1" applyBorder="1" applyAlignment="1">
      <alignment horizontal="center"/>
    </xf>
    <xf numFmtId="0" fontId="26" fillId="6" borderId="27" xfId="0" applyFont="1" applyFill="1" applyBorder="1" applyAlignment="1">
      <alignment horizontal="center"/>
    </xf>
    <xf numFmtId="164" fontId="26" fillId="6" borderId="35" xfId="0" applyNumberFormat="1" applyFont="1" applyFill="1" applyBorder="1" applyAlignment="1">
      <alignment horizontal="center" vertical="center"/>
    </xf>
    <xf numFmtId="164" fontId="26" fillId="6" borderId="30" xfId="0" applyNumberFormat="1" applyFont="1" applyFill="1" applyBorder="1" applyAlignment="1">
      <alignment horizontal="center" vertical="center"/>
    </xf>
    <xf numFmtId="0" fontId="26" fillId="6" borderId="2" xfId="0" applyFont="1" applyFill="1" applyBorder="1" applyAlignment="1">
      <alignment horizontal="center" vertical="center"/>
    </xf>
    <xf numFmtId="0" fontId="25" fillId="6" borderId="66" xfId="0" applyFont="1" applyFill="1" applyBorder="1" applyAlignment="1">
      <alignment horizontal="left" vertical="center"/>
    </xf>
    <xf numFmtId="0" fontId="25" fillId="6" borderId="67" xfId="0" applyFont="1" applyFill="1" applyBorder="1" applyAlignment="1">
      <alignment horizontal="left" vertical="center"/>
    </xf>
    <xf numFmtId="164" fontId="26" fillId="6" borderId="23" xfId="0" applyNumberFormat="1" applyFont="1" applyFill="1" applyBorder="1" applyAlignment="1">
      <alignment horizontal="center" vertical="center"/>
    </xf>
    <xf numFmtId="164" fontId="26" fillId="6" borderId="3" xfId="0" applyNumberFormat="1" applyFont="1" applyFill="1" applyBorder="1" applyAlignment="1">
      <alignment horizontal="center" vertical="center"/>
    </xf>
    <xf numFmtId="0" fontId="25" fillId="6" borderId="4" xfId="0" applyFont="1" applyFill="1" applyBorder="1" applyAlignment="1">
      <alignment horizontal="center" vertical="center"/>
    </xf>
    <xf numFmtId="0" fontId="25" fillId="6" borderId="39" xfId="0" applyFont="1" applyFill="1" applyBorder="1" applyAlignment="1">
      <alignment horizontal="left" vertical="center" wrapText="1"/>
    </xf>
    <xf numFmtId="4" fontId="25" fillId="6" borderId="22" xfId="1" applyNumberFormat="1" applyFont="1" applyFill="1" applyBorder="1" applyAlignment="1" applyProtection="1">
      <alignment horizontal="center" vertical="center"/>
    </xf>
    <xf numFmtId="4" fontId="25" fillId="6" borderId="4" xfId="1" applyNumberFormat="1" applyFont="1" applyFill="1" applyBorder="1" applyAlignment="1" applyProtection="1">
      <alignment horizontal="center" vertical="center"/>
    </xf>
    <xf numFmtId="4" fontId="25" fillId="6" borderId="2" xfId="1" applyNumberFormat="1" applyFont="1" applyFill="1" applyBorder="1" applyAlignment="1" applyProtection="1">
      <alignment horizontal="center" vertical="center"/>
    </xf>
    <xf numFmtId="0" fontId="90" fillId="6" borderId="46" xfId="0" applyFont="1" applyFill="1" applyBorder="1" applyAlignment="1">
      <alignment horizontal="left" wrapText="1"/>
    </xf>
    <xf numFmtId="0" fontId="90" fillId="6" borderId="2" xfId="0" applyFont="1" applyFill="1" applyBorder="1" applyAlignment="1">
      <alignment horizontal="left" wrapText="1"/>
    </xf>
    <xf numFmtId="166" fontId="25" fillId="6" borderId="58" xfId="0" applyNumberFormat="1" applyFont="1" applyFill="1" applyBorder="1" applyAlignment="1">
      <alignment horizontal="center" vertical="center"/>
    </xf>
    <xf numFmtId="166" fontId="25" fillId="6" borderId="27" xfId="0" applyNumberFormat="1" applyFont="1" applyFill="1" applyBorder="1" applyAlignment="1">
      <alignment horizontal="center" vertical="center"/>
    </xf>
    <xf numFmtId="0" fontId="82" fillId="2" borderId="33" xfId="0" applyFont="1" applyFill="1" applyBorder="1" applyAlignment="1">
      <alignment horizontal="left" vertical="center" wrapText="1"/>
    </xf>
    <xf numFmtId="0" fontId="82" fillId="2" borderId="0" xfId="0" applyFont="1" applyFill="1" applyAlignment="1">
      <alignment horizontal="left" vertical="center" wrapText="1"/>
    </xf>
    <xf numFmtId="0" fontId="8" fillId="2" borderId="0" xfId="0" applyFont="1" applyFill="1" applyAlignment="1">
      <alignment horizontal="left" vertical="center" wrapText="1"/>
    </xf>
    <xf numFmtId="0" fontId="25" fillId="6" borderId="68" xfId="0" applyFont="1" applyFill="1" applyBorder="1" applyAlignment="1">
      <alignment horizontal="left" vertical="center" wrapText="1"/>
    </xf>
    <xf numFmtId="0" fontId="25" fillId="6" borderId="55" xfId="0" applyFont="1" applyFill="1" applyBorder="1" applyAlignment="1">
      <alignment horizontal="left" vertical="center" wrapText="1"/>
    </xf>
    <xf numFmtId="0" fontId="25" fillId="6" borderId="57" xfId="0" applyFont="1" applyFill="1" applyBorder="1" applyAlignment="1">
      <alignment horizontal="left" vertical="center" wrapText="1"/>
    </xf>
    <xf numFmtId="0" fontId="25" fillId="6" borderId="33" xfId="0" applyFont="1" applyFill="1" applyBorder="1" applyAlignment="1">
      <alignment horizontal="left" vertical="center" wrapText="1"/>
    </xf>
    <xf numFmtId="0" fontId="25" fillId="6" borderId="0" xfId="0" applyFont="1" applyFill="1" applyAlignment="1">
      <alignment horizontal="left" vertical="center" wrapText="1"/>
    </xf>
    <xf numFmtId="0" fontId="25" fillId="6" borderId="69" xfId="0" applyFont="1" applyFill="1" applyBorder="1" applyAlignment="1">
      <alignment horizontal="left" vertical="center" wrapText="1"/>
    </xf>
    <xf numFmtId="0" fontId="25" fillId="6" borderId="53" xfId="0" applyFont="1" applyFill="1" applyBorder="1" applyAlignment="1">
      <alignment horizontal="left" vertical="center" wrapText="1"/>
    </xf>
    <xf numFmtId="0" fontId="25" fillId="6" borderId="52" xfId="0" applyFont="1" applyFill="1" applyBorder="1" applyAlignment="1">
      <alignment horizontal="left" vertical="center" wrapText="1"/>
    </xf>
    <xf numFmtId="0" fontId="25" fillId="6" borderId="70" xfId="0" applyFont="1" applyFill="1" applyBorder="1" applyAlignment="1">
      <alignment horizontal="left" vertical="center" wrapText="1"/>
    </xf>
    <xf numFmtId="0" fontId="17" fillId="0" borderId="31" xfId="7" applyFont="1" applyBorder="1" applyAlignment="1">
      <alignment horizontal="center" vertical="center"/>
    </xf>
    <xf numFmtId="0" fontId="17" fillId="0" borderId="42" xfId="7" applyFont="1" applyBorder="1" applyAlignment="1">
      <alignment horizontal="center" vertical="center"/>
    </xf>
    <xf numFmtId="0" fontId="90" fillId="6" borderId="16" xfId="0" applyFont="1" applyFill="1" applyBorder="1" applyAlignment="1">
      <alignment horizontal="left" wrapText="1"/>
    </xf>
    <xf numFmtId="0" fontId="90" fillId="6" borderId="9" xfId="0" applyFont="1" applyFill="1" applyBorder="1" applyAlignment="1">
      <alignment horizontal="left" wrapText="1"/>
    </xf>
    <xf numFmtId="0" fontId="90" fillId="6" borderId="42" xfId="0" applyFont="1" applyFill="1" applyBorder="1" applyAlignment="1">
      <alignment horizontal="left" wrapText="1"/>
    </xf>
    <xf numFmtId="0" fontId="90" fillId="6" borderId="4" xfId="0" applyFont="1" applyFill="1" applyBorder="1" applyAlignment="1">
      <alignment horizontal="left" wrapText="1"/>
    </xf>
    <xf numFmtId="0" fontId="25" fillId="6" borderId="29" xfId="0" applyFont="1" applyFill="1" applyBorder="1" applyAlignment="1">
      <alignment horizontal="left" wrapText="1"/>
    </xf>
    <xf numFmtId="0" fontId="25" fillId="6" borderId="7" xfId="0" applyFont="1" applyFill="1" applyBorder="1" applyAlignment="1">
      <alignment horizontal="left" wrapText="1"/>
    </xf>
    <xf numFmtId="4" fontId="21" fillId="0" borderId="4" xfId="0" applyNumberFormat="1" applyFont="1" applyBorder="1" applyAlignment="1">
      <alignment horizontal="center" vertical="center"/>
    </xf>
    <xf numFmtId="0" fontId="71" fillId="2" borderId="0" xfId="0" applyFont="1" applyFill="1" applyAlignment="1">
      <alignment horizontal="center"/>
    </xf>
    <xf numFmtId="0" fontId="47" fillId="2" borderId="0" xfId="0" applyFont="1" applyFill="1" applyAlignment="1">
      <alignment horizontal="center"/>
    </xf>
    <xf numFmtId="0" fontId="46" fillId="0" borderId="0" xfId="0" applyFont="1" applyAlignment="1">
      <alignment horizontal="left" vertical="center" wrapText="1"/>
    </xf>
    <xf numFmtId="0" fontId="17" fillId="13" borderId="0" xfId="0" applyFont="1" applyFill="1" applyAlignment="1">
      <alignment horizontal="center"/>
    </xf>
    <xf numFmtId="0" fontId="47" fillId="0" borderId="10" xfId="0" applyFont="1" applyBorder="1" applyAlignment="1">
      <alignment horizontal="center" vertical="center" wrapText="1"/>
    </xf>
    <xf numFmtId="0" fontId="47" fillId="0" borderId="0" xfId="0" applyFont="1" applyAlignment="1">
      <alignment horizontal="center" vertical="center" wrapText="1"/>
    </xf>
    <xf numFmtId="0" fontId="50" fillId="8" borderId="17" xfId="2" applyFont="1" applyFill="1" applyBorder="1" applyAlignment="1">
      <alignment horizontal="center" vertical="center" wrapText="1"/>
    </xf>
    <xf numFmtId="0" fontId="50" fillId="8" borderId="60" xfId="2" applyFont="1" applyFill="1" applyBorder="1" applyAlignment="1">
      <alignment horizontal="center" vertical="center" wrapText="1"/>
    </xf>
    <xf numFmtId="0" fontId="50" fillId="8" borderId="56" xfId="2" applyFont="1" applyFill="1" applyBorder="1" applyAlignment="1">
      <alignment horizontal="center" vertical="center" wrapText="1"/>
    </xf>
    <xf numFmtId="0" fontId="50" fillId="0" borderId="17" xfId="2" applyFont="1" applyBorder="1" applyAlignment="1">
      <alignment horizontal="center" vertical="center" wrapText="1"/>
    </xf>
    <xf numFmtId="0" fontId="50" fillId="0" borderId="60" xfId="2" applyFont="1" applyBorder="1" applyAlignment="1">
      <alignment horizontal="center" vertical="center" wrapText="1"/>
    </xf>
    <xf numFmtId="0" fontId="50" fillId="0" borderId="56" xfId="2" applyFont="1" applyBorder="1" applyAlignment="1">
      <alignment horizontal="center" vertical="center" wrapText="1"/>
    </xf>
    <xf numFmtId="4" fontId="42" fillId="3" borderId="41" xfId="2" applyNumberFormat="1" applyFont="1" applyFill="1" applyBorder="1" applyAlignment="1">
      <alignment horizontal="center" wrapText="1"/>
    </xf>
    <xf numFmtId="4" fontId="42" fillId="3" borderId="15" xfId="2" applyNumberFormat="1" applyFont="1" applyFill="1" applyBorder="1" applyAlignment="1">
      <alignment horizontal="center" wrapText="1"/>
    </xf>
    <xf numFmtId="4" fontId="42" fillId="3" borderId="72" xfId="2" applyNumberFormat="1" applyFont="1" applyFill="1" applyBorder="1" applyAlignment="1">
      <alignment horizontal="center" wrapText="1"/>
    </xf>
    <xf numFmtId="0" fontId="17" fillId="0" borderId="4" xfId="2" applyFont="1" applyBorder="1" applyAlignment="1" applyProtection="1">
      <alignment horizontal="center" vertical="center"/>
      <protection locked="0"/>
    </xf>
    <xf numFmtId="0" fontId="49" fillId="0" borderId="68" xfId="2" applyFont="1" applyBorder="1" applyAlignment="1">
      <alignment horizontal="center" vertical="center" wrapText="1"/>
    </xf>
    <xf numFmtId="0" fontId="49" fillId="0" borderId="55" xfId="2" applyFont="1" applyBorder="1" applyAlignment="1">
      <alignment horizontal="center" vertical="center" wrapText="1"/>
    </xf>
    <xf numFmtId="0" fontId="49" fillId="0" borderId="57" xfId="2" applyFont="1" applyBorder="1" applyAlignment="1">
      <alignment horizontal="center" vertical="center" wrapText="1"/>
    </xf>
    <xf numFmtId="0" fontId="49" fillId="0" borderId="53" xfId="2" applyFont="1" applyBorder="1" applyAlignment="1">
      <alignment horizontal="center" vertical="center" wrapText="1"/>
    </xf>
    <xf numFmtId="0" fontId="49" fillId="0" borderId="52" xfId="2" applyFont="1" applyBorder="1" applyAlignment="1">
      <alignment horizontal="center" vertical="center" wrapText="1"/>
    </xf>
    <xf numFmtId="0" fontId="49" fillId="0" borderId="70" xfId="2" applyFont="1" applyBorder="1" applyAlignment="1">
      <alignment horizontal="center" vertical="center" wrapText="1"/>
    </xf>
    <xf numFmtId="0" fontId="50" fillId="3" borderId="60" xfId="2" applyFont="1" applyFill="1" applyBorder="1" applyAlignment="1">
      <alignment horizontal="center" vertical="center" wrapText="1"/>
    </xf>
    <xf numFmtId="0" fontId="50" fillId="3" borderId="56" xfId="2" applyFont="1" applyFill="1" applyBorder="1" applyAlignment="1">
      <alignment horizontal="center" vertical="center" wrapText="1"/>
    </xf>
    <xf numFmtId="0" fontId="38" fillId="0" borderId="0" xfId="2" applyFont="1" applyAlignment="1">
      <alignment horizontal="center" vertical="center" wrapText="1"/>
    </xf>
    <xf numFmtId="0" fontId="17" fillId="3" borderId="31" xfId="2" applyFont="1" applyFill="1" applyBorder="1" applyAlignment="1">
      <alignment horizontal="center" wrapText="1"/>
    </xf>
    <xf numFmtId="0" fontId="17" fillId="3" borderId="42" xfId="2" applyFont="1" applyFill="1" applyBorder="1" applyAlignment="1">
      <alignment horizontal="center" wrapText="1"/>
    </xf>
    <xf numFmtId="0" fontId="51" fillId="0" borderId="0" xfId="2" applyFont="1" applyAlignment="1">
      <alignment horizontal="center" vertical="center" wrapText="1"/>
    </xf>
    <xf numFmtId="0" fontId="17" fillId="11" borderId="31" xfId="2" applyFont="1" applyFill="1" applyBorder="1" applyAlignment="1">
      <alignment horizontal="center" wrapText="1"/>
    </xf>
    <xf numFmtId="0" fontId="17" fillId="11" borderId="42" xfId="2" applyFont="1" applyFill="1" applyBorder="1" applyAlignment="1">
      <alignment horizontal="center" wrapText="1"/>
    </xf>
    <xf numFmtId="0" fontId="16" fillId="4" borderId="13" xfId="2" applyFill="1" applyBorder="1" applyAlignment="1">
      <alignment horizontal="center" vertical="center" wrapText="1"/>
    </xf>
    <xf numFmtId="0" fontId="52" fillId="0" borderId="0" xfId="2" applyFont="1" applyAlignment="1">
      <alignment horizontal="center" vertical="center" textRotation="90" wrapText="1"/>
    </xf>
    <xf numFmtId="4" fontId="42" fillId="3" borderId="48" xfId="2" applyNumberFormat="1" applyFont="1" applyFill="1" applyBorder="1" applyAlignment="1">
      <alignment horizontal="center" wrapText="1"/>
    </xf>
    <xf numFmtId="4" fontId="42" fillId="3" borderId="47" xfId="2" applyNumberFormat="1" applyFont="1" applyFill="1" applyBorder="1" applyAlignment="1">
      <alignment horizontal="center" wrapText="1"/>
    </xf>
    <xf numFmtId="4" fontId="42" fillId="3" borderId="59" xfId="2" applyNumberFormat="1" applyFont="1" applyFill="1" applyBorder="1" applyAlignment="1">
      <alignment horizontal="center" wrapText="1"/>
    </xf>
    <xf numFmtId="0" fontId="17" fillId="0" borderId="31" xfId="2" applyFont="1" applyBorder="1" applyAlignment="1">
      <alignment horizontal="center" vertical="center" wrapText="1"/>
    </xf>
    <xf numFmtId="0" fontId="17" fillId="0" borderId="44" xfId="2" applyFont="1" applyBorder="1" applyAlignment="1">
      <alignment horizontal="center" vertical="center" wrapText="1"/>
    </xf>
    <xf numFmtId="0" fontId="17" fillId="0" borderId="42" xfId="2" applyFont="1" applyBorder="1" applyAlignment="1">
      <alignment horizontal="center" vertical="center" wrapText="1"/>
    </xf>
    <xf numFmtId="0" fontId="17" fillId="6" borderId="31" xfId="2" applyFont="1" applyFill="1" applyBorder="1" applyAlignment="1">
      <alignment wrapText="1"/>
    </xf>
    <xf numFmtId="0" fontId="17" fillId="6" borderId="42" xfId="2" applyFont="1" applyFill="1" applyBorder="1" applyAlignment="1">
      <alignment wrapText="1"/>
    </xf>
    <xf numFmtId="0" fontId="17" fillId="14" borderId="31" xfId="2" applyFont="1" applyFill="1" applyBorder="1" applyAlignment="1">
      <alignment wrapText="1"/>
    </xf>
    <xf numFmtId="0" fontId="17" fillId="14" borderId="44" xfId="2" applyFont="1" applyFill="1" applyBorder="1" applyAlignment="1">
      <alignment wrapText="1"/>
    </xf>
    <xf numFmtId="0" fontId="17" fillId="14" borderId="42" xfId="2" applyFont="1" applyFill="1" applyBorder="1" applyAlignment="1">
      <alignment wrapText="1"/>
    </xf>
    <xf numFmtId="0" fontId="19" fillId="23" borderId="0" xfId="2" applyFont="1" applyFill="1" applyAlignment="1">
      <alignment horizontal="center"/>
    </xf>
    <xf numFmtId="0" fontId="48" fillId="0" borderId="0" xfId="0" applyFont="1" applyAlignment="1">
      <alignment horizontal="center" vertical="center" wrapText="1"/>
    </xf>
    <xf numFmtId="0" fontId="57" fillId="0" borderId="0" xfId="0" applyFont="1" applyAlignment="1">
      <alignment horizontal="left" wrapText="1"/>
    </xf>
    <xf numFmtId="0" fontId="65" fillId="0" borderId="0" xfId="3" applyNumberFormat="1" applyFont="1"/>
    <xf numFmtId="0" fontId="17" fillId="0" borderId="4" xfId="4" applyFont="1" applyBorder="1" applyAlignment="1">
      <alignment horizontal="center"/>
    </xf>
    <xf numFmtId="173" fontId="17" fillId="0" borderId="4" xfId="0" applyNumberFormat="1" applyFont="1" applyBorder="1" applyAlignment="1">
      <alignment horizontal="center"/>
    </xf>
    <xf numFmtId="0" fontId="16" fillId="0" borderId="31" xfId="4" applyBorder="1"/>
    <xf numFmtId="0" fontId="0" fillId="0" borderId="42" xfId="0" applyBorder="1"/>
    <xf numFmtId="0" fontId="18" fillId="0" borderId="15" xfId="0" applyFont="1" applyBorder="1" applyAlignment="1">
      <alignment horizontal="center" wrapText="1"/>
    </xf>
    <xf numFmtId="0" fontId="8" fillId="6" borderId="40" xfId="0" applyFont="1" applyFill="1" applyBorder="1" applyAlignment="1">
      <alignment horizontal="left" wrapText="1"/>
    </xf>
    <xf numFmtId="0" fontId="8" fillId="6" borderId="4" xfId="0" applyFont="1" applyFill="1" applyBorder="1" applyAlignment="1">
      <alignment horizontal="left" wrapText="1"/>
    </xf>
    <xf numFmtId="0" fontId="74" fillId="6" borderId="4" xfId="0" applyFont="1" applyFill="1" applyBorder="1" applyAlignment="1">
      <alignment horizontal="center"/>
    </xf>
    <xf numFmtId="4" fontId="8" fillId="0" borderId="4" xfId="1" applyNumberFormat="1" applyFont="1" applyFill="1" applyBorder="1" applyAlignment="1" applyProtection="1">
      <alignment horizontal="center" vertical="center"/>
      <protection locked="0"/>
    </xf>
  </cellXfs>
  <cellStyles count="9">
    <cellStyle name="Čárka" xfId="1" builtinId="3"/>
    <cellStyle name="Normální" xfId="0" builtinId="0"/>
    <cellStyle name="normální 10 2" xfId="2" xr:uid="{00000000-0005-0000-0000-000002000000}"/>
    <cellStyle name="normální 10 2 2" xfId="7" xr:uid="{AC873DE1-A564-4FA3-8318-BDB040333CAE}"/>
    <cellStyle name="normální 2" xfId="3" xr:uid="{00000000-0005-0000-0000-000003000000}"/>
    <cellStyle name="Normální 2 3" xfId="8" xr:uid="{31080E45-6956-4350-9471-1410A591C3DE}"/>
    <cellStyle name="Normální 3" xfId="6" xr:uid="{C7E13067-21A4-4732-9F93-DF3E0745AA15}"/>
    <cellStyle name="normální 4 2" xfId="4" xr:uid="{00000000-0005-0000-0000-000004000000}"/>
    <cellStyle name="Procenta" xfId="5" builtinId="5"/>
  </cellStyles>
  <dxfs count="3">
    <dxf>
      <font>
        <condense val="0"/>
        <extend val="0"/>
        <color rgb="FF9C0006"/>
      </font>
      <fill>
        <patternFill>
          <bgColor rgb="FFFFC7CE"/>
        </patternFill>
      </fill>
    </dxf>
    <dxf>
      <font>
        <color auto="1"/>
      </font>
      <fill>
        <patternFill>
          <bgColor theme="2"/>
        </patternFill>
      </fill>
    </dxf>
    <dxf>
      <fill>
        <patternFill>
          <bgColor theme="6" tint="0.79998168889431442"/>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Drop" dropLines="31" dropStyle="combo" dx="26" fmlaLink="'ovládací prvky'!$E$49" fmlaRange="'ovládací prvky'!$B$34:$B$64" sel="31" val="0"/>
</file>

<file path=xl/ctrlProps/ctrlProp11.xml><?xml version="1.0" encoding="utf-8"?>
<formControlPr xmlns="http://schemas.microsoft.com/office/spreadsheetml/2009/9/main" objectType="Drop" dropLines="2" dropStyle="combo" dx="26" fmlaLink="'ovládací prvky'!$K$6" fmlaRange="'ovládací prvky'!$K$7:$K$8" sel="2" val="0"/>
</file>

<file path=xl/ctrlProps/ctrlProp2.xml><?xml version="1.0" encoding="utf-8"?>
<formControlPr xmlns="http://schemas.microsoft.com/office/spreadsheetml/2009/9/main" objectType="Radio" firstButton="1" fmlaLink="'ovládací prvky'!$C$28"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12" dropStyle="combo" dx="26" fmlaLink="'ovládací prvky'!$F$13" fmlaRange="'ovládací prvky'!$C$14:$C$25" sel="1" val="0"/>
</file>

<file path=xl/ctrlProps/ctrlProp5.xml><?xml version="1.0" encoding="utf-8"?>
<formControlPr xmlns="http://schemas.microsoft.com/office/spreadsheetml/2009/9/main" objectType="Drop" dropLines="2" dropStyle="combo" dx="26" fmlaLink="'ovládací prvky'!$J$2" fmlaRange="'ovládací prvky'!$L$2:$L$3" sel="1" val="0"/>
</file>

<file path=xl/ctrlProps/ctrlProp6.xml><?xml version="1.0" encoding="utf-8"?>
<formControlPr xmlns="http://schemas.microsoft.com/office/spreadsheetml/2009/9/main" objectType="Drop" dropLines="6" dropStyle="combo" dx="26" fmlaLink="'ovládací prvky'!$N$13" fmlaRange="'ovládací prvky'!$M$14:$M$19" sel="3" val="0"/>
</file>

<file path=xl/ctrlProps/ctrlProp7.xml><?xml version="1.0" encoding="utf-8"?>
<formControlPr xmlns="http://schemas.microsoft.com/office/spreadsheetml/2009/9/main" objectType="Drop" dropLines="2" dropStyle="combo" dx="26" fmlaLink="'ovládací prvky'!$H$2" fmlaRange="'ovládací prvky'!$G$3:$G$4" sel="2" val="0"/>
</file>

<file path=xl/ctrlProps/ctrlProp8.xml><?xml version="1.0" encoding="utf-8"?>
<formControlPr xmlns="http://schemas.microsoft.com/office/spreadsheetml/2009/9/main" objectType="Drop" dropLines="5" dropStyle="combo" dx="26" fmlaLink="'ovládací prvky'!$C$6" fmlaRange="'ovládací prvky'!$B$7:$B$11" sel="1" val="0"/>
</file>

<file path=xl/ctrlProps/ctrlProp9.xml><?xml version="1.0" encoding="utf-8"?>
<formControlPr xmlns="http://schemas.microsoft.com/office/spreadsheetml/2009/9/main" objectType="Drop" dropLines="31" dropStyle="combo" dx="26" fmlaLink="'ovládací prvky'!$D$49" fmlaRange="'ovládací prvky'!$B$34:$B$64" sel="1" val="0"/>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2.png@01D8085C.1574F6F0" TargetMode="External"/><Relationship Id="rId1" Type="http://schemas.openxmlformats.org/officeDocument/2006/relationships/image" Target="../media/image2.png"/><Relationship Id="rId6" Type="http://schemas.openxmlformats.org/officeDocument/2006/relationships/image" Target="cid:image004.png@01D8085C.1574F6F0" TargetMode="External"/><Relationship Id="rId5" Type="http://schemas.openxmlformats.org/officeDocument/2006/relationships/image" Target="../media/image4.png"/><Relationship Id="rId4" Type="http://schemas.openxmlformats.org/officeDocument/2006/relationships/image" Target="cid:image003.png@01D8085C.1574F6F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678180</xdr:colOff>
          <xdr:row>60</xdr:row>
          <xdr:rowOff>60960</xdr:rowOff>
        </xdr:from>
        <xdr:to>
          <xdr:col>9</xdr:col>
          <xdr:colOff>22860</xdr:colOff>
          <xdr:row>63</xdr:row>
          <xdr:rowOff>137160</xdr:rowOff>
        </xdr:to>
        <xdr:sp macro="" textlink="">
          <xdr:nvSpPr>
            <xdr:cNvPr id="6175" name="Group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60</xdr:row>
          <xdr:rowOff>99060</xdr:rowOff>
        </xdr:from>
        <xdr:to>
          <xdr:col>8</xdr:col>
          <xdr:colOff>563880</xdr:colOff>
          <xdr:row>61</xdr:row>
          <xdr:rowOff>175260</xdr:rowOff>
        </xdr:to>
        <xdr:sp macro="" textlink="">
          <xdr:nvSpPr>
            <xdr:cNvPr id="6179" name="Option Button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61</xdr:row>
          <xdr:rowOff>152400</xdr:rowOff>
        </xdr:from>
        <xdr:to>
          <xdr:col>8</xdr:col>
          <xdr:colOff>594360</xdr:colOff>
          <xdr:row>63</xdr:row>
          <xdr:rowOff>22860</xdr:rowOff>
        </xdr:to>
        <xdr:sp macro="" textlink="">
          <xdr:nvSpPr>
            <xdr:cNvPr id="6180" name="Option Button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2</xdr:row>
          <xdr:rowOff>60960</xdr:rowOff>
        </xdr:from>
        <xdr:to>
          <xdr:col>4</xdr:col>
          <xdr:colOff>914400</xdr:colOff>
          <xdr:row>3</xdr:row>
          <xdr:rowOff>22860</xdr:rowOff>
        </xdr:to>
        <xdr:sp macro="" textlink="">
          <xdr:nvSpPr>
            <xdr:cNvPr id="6186" name="Drop Down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8</xdr:row>
          <xdr:rowOff>60960</xdr:rowOff>
        </xdr:from>
        <xdr:to>
          <xdr:col>4</xdr:col>
          <xdr:colOff>914400</xdr:colOff>
          <xdr:row>9</xdr:row>
          <xdr:rowOff>0</xdr:rowOff>
        </xdr:to>
        <xdr:sp macro="" textlink="">
          <xdr:nvSpPr>
            <xdr:cNvPr id="6187" name="Drop Down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xdr:row>
          <xdr:rowOff>76200</xdr:rowOff>
        </xdr:from>
        <xdr:to>
          <xdr:col>10</xdr:col>
          <xdr:colOff>563880</xdr:colOff>
          <xdr:row>9</xdr:row>
          <xdr:rowOff>30480</xdr:rowOff>
        </xdr:to>
        <xdr:sp macro="" textlink="">
          <xdr:nvSpPr>
            <xdr:cNvPr id="6190" name="souc_spot_tlac3"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10</xdr:row>
          <xdr:rowOff>38100</xdr:rowOff>
        </xdr:from>
        <xdr:to>
          <xdr:col>4</xdr:col>
          <xdr:colOff>914400</xdr:colOff>
          <xdr:row>11</xdr:row>
          <xdr:rowOff>0</xdr:rowOff>
        </xdr:to>
        <xdr:sp macro="" textlink="">
          <xdr:nvSpPr>
            <xdr:cNvPr id="6207" name="Drop Down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60960</xdr:rowOff>
        </xdr:from>
        <xdr:to>
          <xdr:col>10</xdr:col>
          <xdr:colOff>563880</xdr:colOff>
          <xdr:row>3</xdr:row>
          <xdr:rowOff>0</xdr:rowOff>
        </xdr:to>
        <xdr:sp macro="" textlink="">
          <xdr:nvSpPr>
            <xdr:cNvPr id="6211" name="souc_spot_tlac3"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4</xdr:row>
          <xdr:rowOff>60960</xdr:rowOff>
        </xdr:from>
        <xdr:to>
          <xdr:col>4</xdr:col>
          <xdr:colOff>914400</xdr:colOff>
          <xdr:row>5</xdr:row>
          <xdr:rowOff>0</xdr:rowOff>
        </xdr:to>
        <xdr:sp macro="" textlink="">
          <xdr:nvSpPr>
            <xdr:cNvPr id="6213" name="Drop Down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2811780</xdr:colOff>
          <xdr:row>6</xdr:row>
          <xdr:rowOff>60960</xdr:rowOff>
        </xdr:from>
        <xdr:to>
          <xdr:col>4</xdr:col>
          <xdr:colOff>914400</xdr:colOff>
          <xdr:row>7</xdr:row>
          <xdr:rowOff>0</xdr:rowOff>
        </xdr:to>
        <xdr:sp macro="" textlink="">
          <xdr:nvSpPr>
            <xdr:cNvPr id="6214" name="Drop Down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xdr:row>
          <xdr:rowOff>137160</xdr:rowOff>
        </xdr:from>
        <xdr:to>
          <xdr:col>10</xdr:col>
          <xdr:colOff>556260</xdr:colOff>
          <xdr:row>5</xdr:row>
          <xdr:rowOff>76200</xdr:rowOff>
        </xdr:to>
        <xdr:sp macro="" textlink="">
          <xdr:nvSpPr>
            <xdr:cNvPr id="6215" name="Nadlimit_tlac2" hidden="1">
              <a:extLst>
                <a:ext uri="{63B3BB69-23CF-44E3-9099-C40C66FF867C}">
                  <a14:compatExt spid="_x0000_s6215"/>
                </a:ext>
                <a:ext uri="{FF2B5EF4-FFF2-40B4-BE49-F238E27FC236}">
                  <a16:creationId xmlns:a16="http://schemas.microsoft.com/office/drawing/2014/main" id="{00000000-0008-0000-0100-00004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119743</xdr:colOff>
      <xdr:row>8</xdr:row>
      <xdr:rowOff>65315</xdr:rowOff>
    </xdr:from>
    <xdr:to>
      <xdr:col>13</xdr:col>
      <xdr:colOff>3317261</xdr:colOff>
      <xdr:row>10</xdr:row>
      <xdr:rowOff>277669</xdr:rowOff>
    </xdr:to>
    <xdr:pic>
      <xdr:nvPicPr>
        <xdr:cNvPr id="3" name="Obráze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106400" y="3363686"/>
          <a:ext cx="4427604" cy="952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3556508</xdr:colOff>
      <xdr:row>11</xdr:row>
      <xdr:rowOff>38100</xdr:rowOff>
    </xdr:from>
    <xdr:to>
      <xdr:col>0</xdr:col>
      <xdr:colOff>11361420</xdr:colOff>
      <xdr:row>38</xdr:row>
      <xdr:rowOff>38100</xdr:rowOff>
    </xdr:to>
    <xdr:pic>
      <xdr:nvPicPr>
        <xdr:cNvPr id="2" name="Obrázek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556508" y="2811780"/>
          <a:ext cx="7804912" cy="5303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495300</xdr:colOff>
      <xdr:row>42</xdr:row>
      <xdr:rowOff>68580</xdr:rowOff>
    </xdr:from>
    <xdr:to>
      <xdr:col>0</xdr:col>
      <xdr:colOff>8244840</xdr:colOff>
      <xdr:row>69</xdr:row>
      <xdr:rowOff>22860</xdr:rowOff>
    </xdr:to>
    <xdr:pic>
      <xdr:nvPicPr>
        <xdr:cNvPr id="3" name="Obrázek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95300" y="8999220"/>
          <a:ext cx="7749540" cy="498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8945880</xdr:colOff>
      <xdr:row>43</xdr:row>
      <xdr:rowOff>91440</xdr:rowOff>
    </xdr:from>
    <xdr:to>
      <xdr:col>9</xdr:col>
      <xdr:colOff>495300</xdr:colOff>
      <xdr:row>74</xdr:row>
      <xdr:rowOff>0</xdr:rowOff>
    </xdr:to>
    <xdr:pic>
      <xdr:nvPicPr>
        <xdr:cNvPr id="4" name="Obrázek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8945880" y="9204960"/>
          <a:ext cx="8046720" cy="5669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customProperty" Target="../customProperty1.bin"/><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5DCA-AF21-4F52-8F00-2055A93A2AFD}">
  <sheetPr codeName="List1"/>
  <dimension ref="A1:C10"/>
  <sheetViews>
    <sheetView workbookViewId="0">
      <selection activeCell="B24" sqref="B24"/>
    </sheetView>
  </sheetViews>
  <sheetFormatPr defaultRowHeight="14.4" x14ac:dyDescent="0.3"/>
  <cols>
    <col min="2" max="2" width="106.6640625" style="211" customWidth="1"/>
  </cols>
  <sheetData>
    <row r="1" spans="1:3" ht="40.200000000000003" x14ac:dyDescent="0.3">
      <c r="A1">
        <v>1</v>
      </c>
      <c r="B1" s="393" t="s">
        <v>353</v>
      </c>
    </row>
    <row r="2" spans="1:3" x14ac:dyDescent="0.3">
      <c r="A2">
        <v>2</v>
      </c>
      <c r="B2" s="393" t="s">
        <v>334</v>
      </c>
    </row>
    <row r="3" spans="1:3" x14ac:dyDescent="0.3">
      <c r="A3">
        <v>3</v>
      </c>
      <c r="B3" s="393" t="s">
        <v>347</v>
      </c>
    </row>
    <row r="4" spans="1:3" x14ac:dyDescent="0.3">
      <c r="A4">
        <v>4</v>
      </c>
      <c r="B4" s="393" t="s">
        <v>348</v>
      </c>
      <c r="C4" s="382"/>
    </row>
    <row r="5" spans="1:3" x14ac:dyDescent="0.3">
      <c r="A5">
        <v>5</v>
      </c>
      <c r="B5" s="393" t="s">
        <v>354</v>
      </c>
      <c r="C5" s="382"/>
    </row>
    <row r="6" spans="1:3" x14ac:dyDescent="0.3">
      <c r="A6">
        <v>6</v>
      </c>
      <c r="B6" s="393" t="s">
        <v>383</v>
      </c>
      <c r="C6" s="382"/>
    </row>
    <row r="7" spans="1:3" x14ac:dyDescent="0.3">
      <c r="B7" s="383"/>
      <c r="C7" s="382"/>
    </row>
    <row r="8" spans="1:3" x14ac:dyDescent="0.3">
      <c r="B8" s="394" t="s">
        <v>355</v>
      </c>
    </row>
    <row r="10" spans="1:3" x14ac:dyDescent="0.3">
      <c r="B10" s="537" t="s">
        <v>395</v>
      </c>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7">
    <tabColor rgb="FF92D050"/>
    <pageSetUpPr fitToPage="1"/>
  </sheetPr>
  <dimension ref="A1:T75"/>
  <sheetViews>
    <sheetView tabSelected="1" zoomScale="95" zoomScaleNormal="95" workbookViewId="0">
      <pane xSplit="5" ySplit="11" topLeftCell="F12" activePane="bottomRight" state="frozen"/>
      <selection activeCell="D1" sqref="D1"/>
      <selection pane="topRight" activeCell="F1" sqref="F1"/>
      <selection pane="bottomLeft" activeCell="D12" sqref="D12"/>
      <selection pane="bottomRight" activeCell="F16" sqref="F16"/>
    </sheetView>
  </sheetViews>
  <sheetFormatPr defaultColWidth="8.6640625" defaultRowHeight="13.8" x14ac:dyDescent="0.25"/>
  <cols>
    <col min="1" max="1" width="11.33203125" style="5" hidden="1" customWidth="1"/>
    <col min="2" max="2" width="30.6640625" style="5" hidden="1" customWidth="1"/>
    <col min="3" max="3" width="30.6640625" style="496" hidden="1" customWidth="1"/>
    <col min="4" max="4" width="30.6640625" style="3" customWidth="1"/>
    <col min="5" max="5" width="37.6640625" style="3" customWidth="1"/>
    <col min="6" max="6" width="14.6640625" style="3" customWidth="1"/>
    <col min="7" max="7" width="10" style="3" customWidth="1"/>
    <col min="8" max="8" width="11.44140625" style="3" customWidth="1"/>
    <col min="9" max="9" width="11.6640625" style="3" customWidth="1"/>
    <col min="10" max="10" width="18.6640625" style="3" bestFit="1" customWidth="1"/>
    <col min="11" max="11" width="20.44140625" style="3" customWidth="1"/>
    <col min="12" max="12" width="17.33203125" style="7" bestFit="1" customWidth="1"/>
    <col min="13" max="13" width="19.44140625" style="3" customWidth="1"/>
    <col min="14" max="14" width="35.33203125" style="3" customWidth="1"/>
    <col min="15" max="15" width="15.33203125" style="3" customWidth="1"/>
    <col min="16" max="16" width="26.6640625" style="3" customWidth="1"/>
    <col min="17" max="17" width="14.6640625" style="3" customWidth="1"/>
    <col min="18" max="20" width="9.33203125" style="3" customWidth="1"/>
    <col min="21" max="16384" width="8.6640625" style="5"/>
  </cols>
  <sheetData>
    <row r="1" spans="1:20" ht="20.100000000000001" customHeight="1" x14ac:dyDescent="0.4">
      <c r="D1" s="458" t="s">
        <v>418</v>
      </c>
      <c r="E1" s="2"/>
      <c r="G1" s="376"/>
      <c r="N1" s="474" t="s">
        <v>47</v>
      </c>
    </row>
    <row r="2" spans="1:20" ht="20.100000000000001" customHeight="1" x14ac:dyDescent="0.4">
      <c r="D2" s="377"/>
      <c r="E2" s="377"/>
      <c r="F2" s="378">
        <v>2022</v>
      </c>
      <c r="L2" s="3"/>
      <c r="M2" s="13"/>
      <c r="N2" s="5"/>
    </row>
    <row r="3" spans="1:20" ht="20.100000000000001" customHeight="1" x14ac:dyDescent="0.4">
      <c r="B3" s="501"/>
      <c r="C3" s="501"/>
      <c r="D3" s="4" t="s">
        <v>22</v>
      </c>
      <c r="E3" s="541"/>
      <c r="F3" s="464" t="s">
        <v>357</v>
      </c>
      <c r="G3" s="377"/>
      <c r="L3" s="3"/>
    </row>
    <row r="4" spans="1:20" ht="20.100000000000001" customHeight="1" x14ac:dyDescent="0.25">
      <c r="C4" s="5"/>
      <c r="D4" s="4"/>
      <c r="E4" s="541"/>
      <c r="F4" s="4"/>
      <c r="G4" s="4"/>
      <c r="L4" s="3"/>
    </row>
    <row r="5" spans="1:20" ht="20.100000000000001" customHeight="1" x14ac:dyDescent="0.25">
      <c r="B5" s="503" t="s">
        <v>116</v>
      </c>
      <c r="C5" s="502" t="str">
        <f>'Klasik, CNG, M3R, výrobce'!F34</f>
        <v/>
      </c>
      <c r="D5" s="4" t="s">
        <v>366</v>
      </c>
      <c r="E5" s="542"/>
      <c r="F5" s="624" t="s">
        <v>334</v>
      </c>
      <c r="G5" s="624"/>
      <c r="H5" s="624"/>
      <c r="I5" s="624"/>
      <c r="L5" s="3"/>
      <c r="T5" s="5"/>
    </row>
    <row r="6" spans="1:20" ht="20.100000000000001" customHeight="1" x14ac:dyDescent="0.25">
      <c r="D6" s="4"/>
      <c r="E6" s="542"/>
      <c r="F6" s="624"/>
      <c r="G6" s="624"/>
      <c r="H6" s="624"/>
      <c r="I6" s="624"/>
      <c r="L6" s="3"/>
      <c r="T6" s="5"/>
    </row>
    <row r="7" spans="1:20" ht="20.100000000000001" customHeight="1" x14ac:dyDescent="0.25">
      <c r="D7" s="4" t="s">
        <v>367</v>
      </c>
      <c r="E7" s="543" t="str">
        <f>'ovládací prvky'!F49</f>
        <v/>
      </c>
      <c r="F7" s="624"/>
      <c r="G7" s="624"/>
      <c r="H7" s="624"/>
      <c r="I7" s="624"/>
      <c r="L7" s="3"/>
      <c r="T7" s="5"/>
    </row>
    <row r="8" spans="1:20" ht="20.100000000000001" customHeight="1" x14ac:dyDescent="0.25">
      <c r="E8" s="544"/>
      <c r="L8" s="3"/>
    </row>
    <row r="9" spans="1:20" ht="20.100000000000001" customHeight="1" x14ac:dyDescent="0.25">
      <c r="D9" s="4" t="s">
        <v>32</v>
      </c>
      <c r="E9" s="541"/>
      <c r="F9" s="624" t="s">
        <v>376</v>
      </c>
      <c r="G9" s="624"/>
      <c r="H9" s="624"/>
      <c r="I9" s="624"/>
      <c r="J9" s="5"/>
      <c r="K9" s="625" t="str">
        <f>IF(K14="neúplné údaje","vyberte výši součtu spotřeb","")</f>
        <v/>
      </c>
      <c r="L9" s="625"/>
      <c r="M9" s="16"/>
      <c r="N9" s="16"/>
    </row>
    <row r="10" spans="1:20" ht="20.100000000000001" customHeight="1" x14ac:dyDescent="0.25">
      <c r="E10" s="544"/>
      <c r="F10" s="624"/>
      <c r="G10" s="624"/>
      <c r="H10" s="624"/>
      <c r="I10" s="624"/>
      <c r="J10" s="379"/>
      <c r="L10" s="5"/>
      <c r="M10" s="16"/>
      <c r="N10" s="16"/>
    </row>
    <row r="11" spans="1:20" ht="20.100000000000001" customHeight="1" x14ac:dyDescent="0.4">
      <c r="A11" s="711" t="s">
        <v>51</v>
      </c>
      <c r="B11" s="712"/>
      <c r="C11" s="490"/>
      <c r="D11" s="380" t="s">
        <v>23</v>
      </c>
      <c r="E11" s="545"/>
      <c r="F11" s="624"/>
      <c r="G11" s="624"/>
      <c r="H11" s="624"/>
      <c r="I11" s="624"/>
      <c r="L11" s="3"/>
      <c r="M11" s="469" t="s">
        <v>380</v>
      </c>
      <c r="N11" s="470" t="str">
        <f>'ovládací prvky'!Q13</f>
        <v>NE</v>
      </c>
      <c r="O11" s="5"/>
      <c r="P11" s="5"/>
      <c r="Q11" s="5"/>
    </row>
    <row r="12" spans="1:20" ht="15" thickBot="1" x14ac:dyDescent="0.35">
      <c r="A12" s="488" t="s">
        <v>56</v>
      </c>
      <c r="B12" s="489"/>
      <c r="C12" s="497"/>
      <c r="F12" s="460"/>
      <c r="G12" s="460"/>
      <c r="H12" s="5"/>
      <c r="I12" s="5"/>
      <c r="J12" s="487"/>
      <c r="K12" s="5"/>
      <c r="L12" s="381"/>
      <c r="M12" s="16"/>
      <c r="N12" s="16"/>
      <c r="O12" s="5"/>
      <c r="P12" s="5"/>
      <c r="Q12" s="5"/>
    </row>
    <row r="13" spans="1:20" s="3" customFormat="1" ht="28.2" thickBot="1" x14ac:dyDescent="0.35">
      <c r="A13" s="488" t="s">
        <v>58</v>
      </c>
      <c r="B13" s="491"/>
      <c r="C13" s="498" t="s">
        <v>394</v>
      </c>
      <c r="D13" s="492"/>
      <c r="E13" s="478"/>
      <c r="F13" s="452" t="s">
        <v>19</v>
      </c>
      <c r="G13" s="452" t="s">
        <v>20</v>
      </c>
      <c r="H13" s="452" t="s">
        <v>329</v>
      </c>
      <c r="I13" s="452" t="s">
        <v>330</v>
      </c>
      <c r="J13" s="452" t="s">
        <v>26</v>
      </c>
      <c r="K13" s="479" t="s">
        <v>21</v>
      </c>
      <c r="L13" s="7"/>
      <c r="N13" s="8"/>
    </row>
    <row r="14" spans="1:20" s="3" customFormat="1" ht="20.100000000000001" customHeight="1" x14ac:dyDescent="0.3">
      <c r="A14" s="488" t="s">
        <v>60</v>
      </c>
      <c r="B14" s="491"/>
      <c r="C14" s="556"/>
      <c r="D14" s="661" t="s">
        <v>31</v>
      </c>
      <c r="E14" s="643"/>
      <c r="F14" s="339"/>
      <c r="G14" s="23" t="s">
        <v>4</v>
      </c>
      <c r="H14" s="447"/>
      <c r="I14" s="550"/>
      <c r="J14" s="400" t="str">
        <f>IF('ovládací prvky'!$C$6=4,"-",IFERROR(IF(F14=0,"",'Klasik, CNG, M3R, výrobce'!X11),"neúplné údaje"))</f>
        <v/>
      </c>
      <c r="K14" s="546" t="str">
        <f>IF('ovládací prvky'!$C$6=4,"-",IFERROR(IF(F14=0,"",'Klasik, CNG, M3R, výrobce'!Y11),"neúplné údaje"))</f>
        <v/>
      </c>
      <c r="L14" s="468" t="str">
        <f>IF('ovládací prvky'!$C$6=4,"Výrobce plynu neplatí za komoditu, platí pouze za kapacitu.","")</f>
        <v/>
      </c>
      <c r="M14" s="468"/>
      <c r="N14" s="468"/>
    </row>
    <row r="15" spans="1:20" s="3" customFormat="1" ht="20.100000000000001" customHeight="1" x14ac:dyDescent="0.3">
      <c r="A15" s="488" t="s">
        <v>66</v>
      </c>
      <c r="B15" s="491"/>
      <c r="C15" s="556" t="str">
        <f>'Klasik, CNG, M3R, výrobce'!L12</f>
        <v>do 200 000</v>
      </c>
      <c r="D15" s="630" t="s">
        <v>39</v>
      </c>
      <c r="E15" s="631"/>
      <c r="F15" s="33"/>
      <c r="G15" s="24" t="s">
        <v>24</v>
      </c>
      <c r="H15" s="446" t="str">
        <f>IF(F15=0,"",'Klasik, CNG, M3R, výrobce'!F9)</f>
        <v/>
      </c>
      <c r="I15" s="475" t="str">
        <f>IF(F15=0,"","1/12")</f>
        <v/>
      </c>
      <c r="J15" s="401" t="str">
        <f>IF(F15&gt;0,'Klasik, CNG, M3R, výrobce'!X12,"")</f>
        <v/>
      </c>
      <c r="K15" s="547" t="str">
        <f>IF(F15&gt;0,'Klasik, CNG, M3R, výrobce'!Y12,"-")</f>
        <v>-</v>
      </c>
      <c r="L15" s="441"/>
      <c r="M15" s="441"/>
      <c r="N15" s="441"/>
    </row>
    <row r="16" spans="1:20" s="3" customFormat="1" ht="20.100000000000001" customHeight="1" x14ac:dyDescent="0.3">
      <c r="A16" s="488" t="s">
        <v>70</v>
      </c>
      <c r="B16" s="491"/>
      <c r="C16" s="556" t="str">
        <f>'Klasik, CNG, M3R, výrobce'!L13</f>
        <v>do 200 000</v>
      </c>
      <c r="D16" s="630" t="s">
        <v>326</v>
      </c>
      <c r="E16" s="631"/>
      <c r="F16" s="552"/>
      <c r="G16" s="24" t="s">
        <v>24</v>
      </c>
      <c r="H16" s="446" t="str">
        <f>IF($F$15&gt;0,"",IF(F16=0,"",'Klasik, CNG, M3R, výrobce'!$F$9))</f>
        <v/>
      </c>
      <c r="I16" s="475" t="str">
        <f>IF($F$15&gt;0,"",IF(F16=0,"","1/12"))</f>
        <v/>
      </c>
      <c r="J16" s="401" t="str">
        <f>IF($F$15&gt;0,"",IF('ovládací prvky'!$C$6=4,'Klasik, CNG, M3R, výrobce'!L37,IF(F16=0,"",'Klasik, CNG, M3R, výrobce'!X13)))</f>
        <v/>
      </c>
      <c r="K16" s="547" t="str">
        <f>IF(F15&gt;0,"-",IF('ovládací prvky'!$C$6=4,'Klasik, CNG, M3R, výrobce'!M37,IF(F16=0,"-",'Klasik, CNG, M3R, výrobce'!Y13)))</f>
        <v>-</v>
      </c>
      <c r="L16" s="626" t="str">
        <f>IF(AND('ovládací prvky'!$C$6=3,'Výpočet ceny distribuce'!E46&gt;'Výpočet ceny distribuce'!F16),'ovládací prvky'!$E$9,"")</f>
        <v/>
      </c>
      <c r="M16" s="626"/>
      <c r="N16" s="626"/>
    </row>
    <row r="17" spans="1:20" s="566" customFormat="1" ht="33" customHeight="1" x14ac:dyDescent="0.3">
      <c r="A17" s="558" t="s">
        <v>90</v>
      </c>
      <c r="B17" s="559"/>
      <c r="C17" s="560" t="str">
        <f>'Klasik, CNG, M3R, výrobce'!L15</f>
        <v>do 200 000</v>
      </c>
      <c r="D17" s="772" t="s">
        <v>384</v>
      </c>
      <c r="E17" s="773"/>
      <c r="F17" s="775"/>
      <c r="G17" s="774" t="s">
        <v>431</v>
      </c>
      <c r="H17" s="562" t="str">
        <f>IF(OR($F$15&gt;0,'ovládací prvky'!$C$6=3),"",IF(F17=0,"",'Klasik, CNG, M3R, výrobce'!$F$9))</f>
        <v/>
      </c>
      <c r="I17" s="563" t="str">
        <f>IF(OR($F$15&gt;0,'ovládací prvky'!$C$6=3),"",IF(F17=0,"","1/12"))</f>
        <v/>
      </c>
      <c r="J17" s="564" t="str">
        <f>IF(OR($F$15&gt;0,'ovládací prvky'!$C$6=3),"",IF('ovládací prvky'!$C$6=4,'Klasik, CNG, M3R, výrobce'!L38,IF(F17=0,"",'Klasik, CNG, M3R, výrobce'!X15)))</f>
        <v/>
      </c>
      <c r="K17" s="565" t="str">
        <f>IF(OR($F$15&gt;0,'ovládací prvky'!$C$6=3),"-",IF('ovládací prvky'!$C$6=4,'Klasik, CNG, M3R, výrobce'!P39,IF(F17=0,"-",'Klasik, CNG, M3R, výrobce'!Y15)))</f>
        <v>-</v>
      </c>
      <c r="L17" s="626"/>
      <c r="M17" s="626"/>
      <c r="N17" s="626"/>
    </row>
    <row r="18" spans="1:20" s="3" customFormat="1" ht="20.100000000000001" customHeight="1" thickBot="1" x14ac:dyDescent="0.35">
      <c r="A18" s="488" t="s">
        <v>93</v>
      </c>
      <c r="B18" s="491"/>
      <c r="C18" s="556" t="str">
        <f>'Klasik, CNG, M3R, výrobce'!L14</f>
        <v>do 200 000</v>
      </c>
      <c r="D18" s="717" t="s">
        <v>325</v>
      </c>
      <c r="E18" s="718"/>
      <c r="F18" s="582"/>
      <c r="G18" s="22" t="s">
        <v>24</v>
      </c>
      <c r="H18" s="448" t="str">
        <f>IFERROR(IF(F18=0,"",'Klasik, CNG, M3R, výrobce'!F9),"neúplné údaje")</f>
        <v/>
      </c>
      <c r="I18" s="484" t="str">
        <f>IF(F18=0,"","1/12")</f>
        <v/>
      </c>
      <c r="J18" s="442" t="str">
        <f>IF(F18=0,"",IF('ovládací prvky'!$C$6=4,'Klasik, CNG, M3R, výrobce'!E54,IF(F18=0,"",'Klasik, CNG, M3R, výrobce'!X14)))</f>
        <v/>
      </c>
      <c r="K18" s="548" t="str">
        <f>IFERROR(IF('ovládací prvky'!$C$6=4,'Klasik, CNG, M3R, výrobce'!P37,IF(F18=0,"-",'Klasik, CNG, M3R, výrobce'!Y14)),"neúplné údaje")</f>
        <v>-</v>
      </c>
      <c r="L18" s="626"/>
      <c r="M18" s="626"/>
      <c r="N18" s="626"/>
    </row>
    <row r="19" spans="1:20" s="3" customFormat="1" ht="20.100000000000001" customHeight="1" x14ac:dyDescent="0.3">
      <c r="A19" s="488" t="s">
        <v>96</v>
      </c>
      <c r="B19" s="491"/>
      <c r="C19" s="556" t="str">
        <f>'Klasik, CNG, M3R, výrobce'!L16</f>
        <v>do 200 000</v>
      </c>
      <c r="D19" s="661" t="s">
        <v>7</v>
      </c>
      <c r="E19" s="643"/>
      <c r="F19" s="553"/>
      <c r="G19" s="23" t="s">
        <v>24</v>
      </c>
      <c r="H19" s="447" t="str">
        <f>IF(F15&gt;0,"",IF(F19=0,"",'Klasik, CNG, M3R, výrobce'!F9))</f>
        <v/>
      </c>
      <c r="I19" s="550"/>
      <c r="J19" s="400" t="str">
        <f>IF(F19=0,"",IF(F15&gt;0,"",IF('ovládací prvky'!$C$6=4,'Klasik, CNG, M3R, výrobce'!E54,IF(F19=0,"",'Klasik, CNG, M3R, výrobce'!X16))))</f>
        <v/>
      </c>
      <c r="K19" s="546" t="str">
        <f>IF(F15&gt;0,"-",IF('ovládací prvky'!$C$6=4,'Klasik, CNG, M3R, výrobce'!P38,IF(F19=0,"-",'Klasik, CNG, M3R, výrobce'!Y16)))</f>
        <v>-</v>
      </c>
      <c r="L19" s="609"/>
      <c r="M19" s="397"/>
      <c r="N19" s="397"/>
      <c r="T19" s="9"/>
    </row>
    <row r="20" spans="1:20" s="3" customFormat="1" ht="20.100000000000001" customHeight="1" x14ac:dyDescent="0.3">
      <c r="A20" s="488" t="s">
        <v>99</v>
      </c>
      <c r="B20" s="491"/>
      <c r="C20" s="556" t="str">
        <f>'Klasik, CNG, M3R, výrobce'!L17</f>
        <v>do 200 000</v>
      </c>
      <c r="D20" s="630" t="s">
        <v>8</v>
      </c>
      <c r="E20" s="631"/>
      <c r="F20" s="552"/>
      <c r="G20" s="24" t="s">
        <v>24</v>
      </c>
      <c r="H20" s="446" t="str">
        <f>IF(F15&gt;0,"",IF('ovládací prvky'!$C$6=4,"-",IF(F20=0,"",'Klasik, CNG, M3R, výrobce'!F9)))</f>
        <v/>
      </c>
      <c r="I20" s="388"/>
      <c r="J20" s="401" t="str">
        <f>IF(F15&gt;0,"",IF('ovládací prvky'!$C$6=4,"",IF(F20=0,"",'Klasik, CNG, M3R, výrobce'!X17)))</f>
        <v/>
      </c>
      <c r="K20" s="547" t="str">
        <f>IF(F15&gt;0,"-",IF('ovládací prvky'!$C$6=4,"-",IF(F20=0,"-",'Klasik, CNG, M3R, výrobce'!Y17)))</f>
        <v>-</v>
      </c>
      <c r="L20" s="483" t="str">
        <f t="shared" ref="L20:L24" si="0">IF(AND(F20&gt;0,$F$15&gt;0),"Pro kapacitu dle hist.maxima se nepočítá platba za měsíční kapacitu.","")</f>
        <v/>
      </c>
      <c r="N20" s="324"/>
      <c r="T20" s="9"/>
    </row>
    <row r="21" spans="1:20" s="3" customFormat="1" ht="20.100000000000001" customHeight="1" x14ac:dyDescent="0.3">
      <c r="A21" s="488" t="s">
        <v>102</v>
      </c>
      <c r="B21" s="491"/>
      <c r="C21" s="556" t="str">
        <f>'Klasik, CNG, M3R, výrobce'!L18</f>
        <v>do 200 000</v>
      </c>
      <c r="D21" s="630" t="s">
        <v>9</v>
      </c>
      <c r="E21" s="631"/>
      <c r="F21" s="552"/>
      <c r="G21" s="24" t="s">
        <v>24</v>
      </c>
      <c r="H21" s="446" t="str">
        <f>IF(F15&gt;0,"",IF('ovládací prvky'!$C$6=4,"-",IF(F21=0,"",'Klasik, CNG, M3R, výrobce'!F9)))</f>
        <v/>
      </c>
      <c r="I21" s="388"/>
      <c r="J21" s="401" t="str">
        <f>IF(F15&gt;0,"",IF('ovládací prvky'!$C$6=4,"",IF(F21=0,"",'Klasik, CNG, M3R, výrobce'!X18)))</f>
        <v/>
      </c>
      <c r="K21" s="547" t="str">
        <f>IF(F15&gt;0,"-",IF('ovládací prvky'!$C$6=4,"-",IF(F21=0,"-",'Klasik, CNG, M3R, výrobce'!Y18)))</f>
        <v>-</v>
      </c>
      <c r="L21" s="483" t="str">
        <f t="shared" si="0"/>
        <v/>
      </c>
      <c r="N21" s="324"/>
      <c r="T21" s="9"/>
    </row>
    <row r="22" spans="1:20" s="3" customFormat="1" ht="20.100000000000001" customHeight="1" x14ac:dyDescent="0.3">
      <c r="A22" s="488" t="s">
        <v>105</v>
      </c>
      <c r="B22" s="491"/>
      <c r="C22" s="556" t="str">
        <f>'Klasik, CNG, M3R, výrobce'!L19</f>
        <v>do 200 000</v>
      </c>
      <c r="D22" s="630" t="s">
        <v>10</v>
      </c>
      <c r="E22" s="631"/>
      <c r="F22" s="552"/>
      <c r="G22" s="24" t="s">
        <v>24</v>
      </c>
      <c r="H22" s="446" t="str">
        <f>IF(F15&gt;0,"",IF('ovládací prvky'!$C$6=4,"-",IF(F22=0,"",'Klasik, CNG, M3R, výrobce'!F9)))</f>
        <v/>
      </c>
      <c r="I22" s="388"/>
      <c r="J22" s="401" t="str">
        <f>IF(F15&gt;0,"",IF('ovládací prvky'!$C$6=4,"",IF(F22=0,"",'Klasik, CNG, M3R, výrobce'!X19)))</f>
        <v/>
      </c>
      <c r="K22" s="547" t="str">
        <f>IF(F15&gt;0,"-",IF('ovládací prvky'!$C$6=4,"-",IF(F22=0,"-",'Klasik, CNG, M3R, výrobce'!Y19)))</f>
        <v>-</v>
      </c>
      <c r="L22" s="483" t="str">
        <f t="shared" si="0"/>
        <v/>
      </c>
      <c r="N22" s="324"/>
      <c r="T22" s="9"/>
    </row>
    <row r="23" spans="1:20" s="3" customFormat="1" ht="20.100000000000001" customHeight="1" thickBot="1" x14ac:dyDescent="0.35">
      <c r="A23" s="488" t="s">
        <v>108</v>
      </c>
      <c r="B23" s="491"/>
      <c r="C23" s="556" t="str">
        <f>'Klasik, CNG, M3R, výrobce'!L20</f>
        <v>do 200 000</v>
      </c>
      <c r="D23" s="632" t="s">
        <v>11</v>
      </c>
      <c r="E23" s="633"/>
      <c r="F23" s="508"/>
      <c r="G23" s="480" t="s">
        <v>24</v>
      </c>
      <c r="H23" s="481" t="str">
        <f>IF($F$15&gt;0,"",IF('ovládací prvky'!$C$6=4,"-",IF(F23=0,"",'Klasik, CNG, M3R, výrobce'!$F$9)))</f>
        <v/>
      </c>
      <c r="I23" s="551"/>
      <c r="J23" s="482" t="str">
        <f>IF($F$15&gt;0,"",IF('ovládací prvky'!$C$6=4,"",IF(F23=0,"",'Klasik, CNG, M3R, výrobce'!X20)))</f>
        <v/>
      </c>
      <c r="K23" s="549" t="str">
        <f>IF($F$15&gt;0,"-",IF('ovládací prvky'!$C$6=4,"-",IF(F23=0,"-",'Klasik, CNG, M3R, výrobce'!Y20)))</f>
        <v>-</v>
      </c>
      <c r="L23" s="483" t="str">
        <f t="shared" si="0"/>
        <v/>
      </c>
      <c r="N23" s="324"/>
      <c r="T23" s="9"/>
    </row>
    <row r="24" spans="1:20" s="566" customFormat="1" ht="20.100000000000001" customHeight="1" x14ac:dyDescent="0.3">
      <c r="A24" s="567" t="s">
        <v>393</v>
      </c>
      <c r="B24" s="568">
        <f>SUM(B12:B23)/1000</f>
        <v>0</v>
      </c>
      <c r="C24" s="569" t="str">
        <f>'Klasik, CNG, M3R, výrobce'!L21</f>
        <v>do 200 000</v>
      </c>
      <c r="D24" s="713" t="s">
        <v>385</v>
      </c>
      <c r="E24" s="714"/>
      <c r="F24" s="583"/>
      <c r="G24" s="584" t="s">
        <v>406</v>
      </c>
      <c r="H24" s="585" t="str">
        <f>IF($F$15&gt;0,"",IF('ovládací prvky'!$C$6=4,"-",IF(F24=0,"",'Klasik, CNG, M3R, výrobce'!$F$9)))</f>
        <v/>
      </c>
      <c r="I24" s="586"/>
      <c r="J24" s="587" t="str">
        <f>IF($F$15&gt;0,"",IF('ovládací prvky'!$C$6=4,"",IF(F24=0,"",'Klasik, CNG, M3R, výrobce'!X21)))</f>
        <v/>
      </c>
      <c r="K24" s="588" t="str">
        <f>IF($F$15&gt;0,"-",IF('ovládací prvky'!$C$6=4,"-",IF(F24=0,"-",'Klasik, CNG, M3R, výrobce'!Y21)))</f>
        <v>-</v>
      </c>
      <c r="L24" s="572" t="str">
        <f t="shared" si="0"/>
        <v/>
      </c>
      <c r="N24" s="573"/>
      <c r="T24" s="574"/>
    </row>
    <row r="25" spans="1:20" s="566" customFormat="1" ht="20.100000000000001" customHeight="1" x14ac:dyDescent="0.3">
      <c r="C25" s="569" t="str">
        <f>'Klasik, CNG, M3R, výrobce'!L22</f>
        <v>do 200 000</v>
      </c>
      <c r="D25" s="715" t="s">
        <v>389</v>
      </c>
      <c r="E25" s="716"/>
      <c r="F25" s="570"/>
      <c r="G25" s="561" t="s">
        <v>406</v>
      </c>
      <c r="H25" s="562" t="str">
        <f>IF($F$15&gt;0,"",IF('ovládací prvky'!$C$6=4,"-",IF(F25=0,"",'Klasik, CNG, M3R, výrobce'!$F$9)))</f>
        <v/>
      </c>
      <c r="I25" s="571"/>
      <c r="J25" s="564" t="str">
        <f>IF($F$15&gt;0,"",IF('ovládací prvky'!$C$6=4,"",IF(F25=0,"",'Klasik, CNG, M3R, výrobce'!X22)))</f>
        <v/>
      </c>
      <c r="K25" s="565" t="str">
        <f>IF($F$15&gt;0,"-",IF('ovládací prvky'!$C$6=4,"-",IF(F25=0,"-",'Klasik, CNG, M3R, výrobce'!Y22)))</f>
        <v>-</v>
      </c>
      <c r="L25" s="572"/>
      <c r="N25" s="573"/>
      <c r="O25" s="575"/>
      <c r="T25" s="574"/>
    </row>
    <row r="26" spans="1:20" s="566" customFormat="1" ht="20.100000000000001" customHeight="1" x14ac:dyDescent="0.3">
      <c r="C26" s="569" t="str">
        <f>'Klasik, CNG, M3R, výrobce'!L23</f>
        <v>do 200 000</v>
      </c>
      <c r="D26" s="715" t="s">
        <v>390</v>
      </c>
      <c r="E26" s="716"/>
      <c r="F26" s="570"/>
      <c r="G26" s="561" t="s">
        <v>406</v>
      </c>
      <c r="H26" s="562" t="str">
        <f>IF($F$15&gt;0,"",IF('ovládací prvky'!$C$6=4,"-",IF(F26=0,"",'Klasik, CNG, M3R, výrobce'!$F$9)))</f>
        <v/>
      </c>
      <c r="I26" s="571"/>
      <c r="J26" s="564" t="str">
        <f>IF($F$15&gt;0,"",IF('ovládací prvky'!$C$6=4,"",IF(F26=0,"",'Klasik, CNG, M3R, výrobce'!X23)))</f>
        <v/>
      </c>
      <c r="K26" s="565" t="str">
        <f>IF($F$15&gt;0,"-",IF('ovládací prvky'!$C$6=4,"-",IF(F26=0,"-",'Klasik, CNG, M3R, výrobce'!Y23)))</f>
        <v>-</v>
      </c>
      <c r="L26" s="572"/>
      <c r="N26" s="573"/>
      <c r="O26" s="575"/>
      <c r="T26" s="574"/>
    </row>
    <row r="27" spans="1:20" s="566" customFormat="1" ht="20.100000000000001" customHeight="1" x14ac:dyDescent="0.3">
      <c r="C27" s="569" t="str">
        <f>'Klasik, CNG, M3R, výrobce'!L24</f>
        <v>do 200 000</v>
      </c>
      <c r="D27" s="715" t="s">
        <v>391</v>
      </c>
      <c r="E27" s="716"/>
      <c r="F27" s="570"/>
      <c r="G27" s="561" t="s">
        <v>406</v>
      </c>
      <c r="H27" s="562" t="str">
        <f>IF($F$15&gt;0,"",IF('ovládací prvky'!$C$6=4,"-",IF(F27=0,"",'Klasik, CNG, M3R, výrobce'!$F$9)))</f>
        <v/>
      </c>
      <c r="I27" s="571"/>
      <c r="J27" s="564" t="str">
        <f>IF($F$15&gt;0,"",IF('ovládací prvky'!$C$6=4,"",IF(F27=0,"",'Klasik, CNG, M3R, výrobce'!X24)))</f>
        <v/>
      </c>
      <c r="K27" s="565" t="str">
        <f>IF($F$15&gt;0,"-",IF('ovládací prvky'!$C$6=4,"-",IF(F27=0,"-",'Klasik, CNG, M3R, výrobce'!Y24)))</f>
        <v>-</v>
      </c>
      <c r="L27" s="572"/>
      <c r="N27" s="573"/>
      <c r="O27" s="575"/>
      <c r="T27" s="574"/>
    </row>
    <row r="28" spans="1:20" s="566" customFormat="1" ht="20.100000000000001" customHeight="1" thickBot="1" x14ac:dyDescent="0.35">
      <c r="C28" s="569" t="str">
        <f>'Klasik, CNG, M3R, výrobce'!L25</f>
        <v>do 200 000</v>
      </c>
      <c r="D28" s="695" t="s">
        <v>392</v>
      </c>
      <c r="E28" s="696"/>
      <c r="F28" s="576"/>
      <c r="G28" s="577" t="s">
        <v>406</v>
      </c>
      <c r="H28" s="578" t="str">
        <f>IF($F$15&gt;0,"",IF('ovládací prvky'!$C$6=4,"-",IF(F28=0,"",'Klasik, CNG, M3R, výrobce'!$F$9)))</f>
        <v/>
      </c>
      <c r="I28" s="579"/>
      <c r="J28" s="580" t="str">
        <f>IF($F$15&gt;0,"",IF('ovládací prvky'!$C$6=4,"",IF(F28=0,"",'Klasik, CNG, M3R, výrobce'!X25)))</f>
        <v/>
      </c>
      <c r="K28" s="581" t="str">
        <f>IF($F$15&gt;0,"-",IF('ovládací prvky'!$C$6=4,"-",IF(F28=0,"-",'Klasik, CNG, M3R, výrobce'!Y25)))</f>
        <v>-</v>
      </c>
      <c r="L28" s="572"/>
      <c r="N28" s="573"/>
      <c r="O28" s="575"/>
      <c r="T28" s="574"/>
    </row>
    <row r="29" spans="1:20" s="3" customFormat="1" ht="20.100000000000001" customHeight="1" x14ac:dyDescent="0.25">
      <c r="C29" s="719" t="str">
        <f>'Klasik, CNG, M3R, výrobce'!L26</f>
        <v>do 200 000</v>
      </c>
      <c r="D29" s="634" t="s">
        <v>12</v>
      </c>
      <c r="E29" s="635"/>
      <c r="F29" s="636"/>
      <c r="G29" s="644" t="s">
        <v>24</v>
      </c>
      <c r="H29" s="651" t="str">
        <f>IF(F15&gt;0,"",IF('ovládací prvky'!$C$6=4,"-",IF(OR(F29=0,D31=0),"",'Klasik, CNG, M3R, výrobce'!E82)))</f>
        <v/>
      </c>
      <c r="I29" s="652" t="str">
        <f>IF(F15&gt;0,"",IF('ovládací prvky'!$C$6=4,"",IF(F29=0,"",'Klasik, CNG, M3R, výrobce'!V26)))</f>
        <v/>
      </c>
      <c r="J29" s="652" t="str">
        <f>IF(F15&gt;0,"",IF('ovládací prvky'!$C$6=4,"",IF(H29=0,"",IF(F29=0,"",'Klasik, CNG, M3R, výrobce'!X26))))</f>
        <v/>
      </c>
      <c r="K29" s="648" t="str">
        <f>IF(F15&gt;0,"-",IF('ovládací prvky'!$C$6=4,"-",IF(F29=0,"-",'Klasik, CNG, M3R, výrobce'!Y26)))</f>
        <v>-</v>
      </c>
      <c r="L29" s="7"/>
      <c r="O29" s="10"/>
      <c r="P29" s="11"/>
      <c r="T29" s="9"/>
    </row>
    <row r="30" spans="1:20" s="3" customFormat="1" ht="20.100000000000001" customHeight="1" x14ac:dyDescent="0.25">
      <c r="C30" s="719"/>
      <c r="D30" s="493" t="s">
        <v>28</v>
      </c>
      <c r="E30" s="443" t="s">
        <v>30</v>
      </c>
      <c r="F30" s="637"/>
      <c r="G30" s="640"/>
      <c r="H30" s="628"/>
      <c r="I30" s="653"/>
      <c r="J30" s="653"/>
      <c r="K30" s="649"/>
      <c r="L30" s="457" t="str">
        <f>IF(AND(F29&gt;0,$F$15&gt;0),"Pro kapacitu dle hist.maxima se nepočítá platba za klouzavou kapacitu.","")</f>
        <v/>
      </c>
      <c r="O30" s="10"/>
      <c r="T30" s="9"/>
    </row>
    <row r="31" spans="1:20" s="3" customFormat="1" ht="20.100000000000001" customHeight="1" thickBot="1" x14ac:dyDescent="0.3">
      <c r="C31" s="719"/>
      <c r="D31" s="494"/>
      <c r="E31" s="444"/>
      <c r="F31" s="638"/>
      <c r="G31" s="641"/>
      <c r="H31" s="629"/>
      <c r="I31" s="654"/>
      <c r="J31" s="654"/>
      <c r="K31" s="650"/>
      <c r="L31" s="457"/>
      <c r="M31" s="331"/>
      <c r="O31" s="10"/>
      <c r="T31" s="9"/>
    </row>
    <row r="32" spans="1:20" s="3" customFormat="1" ht="20.100000000000001" customHeight="1" x14ac:dyDescent="0.25">
      <c r="C32" s="719" t="str">
        <f>'Klasik, CNG, M3R, výrobce'!L27</f>
        <v>do 200 000</v>
      </c>
      <c r="D32" s="642" t="s">
        <v>13</v>
      </c>
      <c r="E32" s="643"/>
      <c r="F32" s="645"/>
      <c r="G32" s="639" t="s">
        <v>24</v>
      </c>
      <c r="H32" s="627" t="str">
        <f>IF(F15&gt;0,"",IF('ovládací prvky'!$C$6=4,"-",IF(OR(F32=0,D34=0),"",'Klasik, CNG, M3R, výrobce'!F82)))</f>
        <v/>
      </c>
      <c r="I32" s="655" t="str">
        <f>IF(F15&gt;0,"",IF('ovládací prvky'!$C$6=4,"",IF(F32=0,"",'Klasik, CNG, M3R, výrobce'!V27)))</f>
        <v/>
      </c>
      <c r="J32" s="655" t="str">
        <f>IF(F15&gt;0,"",IF('ovládací prvky'!$C$6=4,"",IF(H32=0,"",IF(F32=0,"",'Klasik, CNG, M3R, výrobce'!X27))))</f>
        <v/>
      </c>
      <c r="K32" s="688" t="str">
        <f>IF(F15&gt;0,"-",IF('ovládací prvky'!$C$6=4,"-",IF(F32=0,"-",'Klasik, CNG, M3R, výrobce'!Y27)))</f>
        <v>-</v>
      </c>
      <c r="L32" s="7"/>
      <c r="M32" s="331"/>
      <c r="O32" s="10"/>
      <c r="T32" s="9"/>
    </row>
    <row r="33" spans="3:20" s="3" customFormat="1" ht="20.100000000000001" customHeight="1" x14ac:dyDescent="0.25">
      <c r="C33" s="719"/>
      <c r="D33" s="495" t="s">
        <v>28</v>
      </c>
      <c r="E33" s="445" t="s">
        <v>30</v>
      </c>
      <c r="F33" s="646"/>
      <c r="G33" s="640"/>
      <c r="H33" s="628"/>
      <c r="I33" s="653"/>
      <c r="J33" s="653"/>
      <c r="K33" s="649"/>
      <c r="L33" s="457" t="str">
        <f>IF(AND(F32&gt;0,$F$15&gt;0),"Pro kapacitu dle hist.maxima se nepočítá platba za klouzavou kapacitu.","")</f>
        <v/>
      </c>
      <c r="M33" s="331"/>
      <c r="O33" s="10"/>
      <c r="T33" s="9"/>
    </row>
    <row r="34" spans="3:20" s="3" customFormat="1" ht="20.100000000000001" customHeight="1" thickBot="1" x14ac:dyDescent="0.3">
      <c r="C34" s="719"/>
      <c r="D34" s="494"/>
      <c r="E34" s="444"/>
      <c r="F34" s="647"/>
      <c r="G34" s="641"/>
      <c r="H34" s="629"/>
      <c r="I34" s="654"/>
      <c r="J34" s="654"/>
      <c r="K34" s="650"/>
      <c r="L34" s="457"/>
      <c r="M34" s="331"/>
      <c r="N34" s="13"/>
      <c r="T34" s="14"/>
    </row>
    <row r="35" spans="3:20" s="3" customFormat="1" ht="15" customHeight="1" x14ac:dyDescent="0.25">
      <c r="C35" s="719" t="str">
        <f>'Klasik, CNG, M3R, výrobce'!L28</f>
        <v>do 200 000</v>
      </c>
      <c r="D35" s="642" t="s">
        <v>14</v>
      </c>
      <c r="E35" s="643"/>
      <c r="F35" s="645"/>
      <c r="G35" s="639" t="s">
        <v>24</v>
      </c>
      <c r="H35" s="627" t="str">
        <f>IF(F15&gt;0,"",IF('ovládací prvky'!$C$6=4,"-",IF(OR(D37=0,F35=0),"",'Klasik, CNG, M3R, výrobce'!G82)))</f>
        <v/>
      </c>
      <c r="I35" s="655" t="str">
        <f>IF(F15&gt;0,"",IF('ovládací prvky'!$C$6=4,"",IF(F35=0,"",'Klasik, CNG, M3R, výrobce'!V28)))</f>
        <v/>
      </c>
      <c r="J35" s="655" t="str">
        <f>IF(F15&gt;0,"",IF('ovládací prvky'!$C$6=4,"",IF(H35=0,"",IF(F35=0,"",'Klasik, CNG, M3R, výrobce'!X28))))</f>
        <v/>
      </c>
      <c r="K35" s="688" t="str">
        <f>IF(F15&gt;0,"-",IF('ovládací prvky'!$C$6=4,"-",IF(F35=0,"-",'Klasik, CNG, M3R, výrobce'!Y28)))</f>
        <v>-</v>
      </c>
      <c r="L35" s="7"/>
      <c r="M35" s="12"/>
      <c r="N35" s="15"/>
      <c r="T35" s="9"/>
    </row>
    <row r="36" spans="3:20" s="3" customFormat="1" ht="15" customHeight="1" x14ac:dyDescent="0.25">
      <c r="C36" s="719"/>
      <c r="D36" s="495" t="s">
        <v>29</v>
      </c>
      <c r="E36" s="445" t="s">
        <v>30</v>
      </c>
      <c r="F36" s="646"/>
      <c r="G36" s="640"/>
      <c r="H36" s="628"/>
      <c r="I36" s="653"/>
      <c r="J36" s="653"/>
      <c r="K36" s="649"/>
      <c r="L36" s="457" t="str">
        <f>IF(AND(F35&gt;0,$F$15&gt;0),"Pro kapacitu dle hist.maxima se nepočítá platba za klouzavou kapacitu.","")</f>
        <v/>
      </c>
      <c r="M36" s="12"/>
      <c r="N36" s="15"/>
      <c r="T36" s="9"/>
    </row>
    <row r="37" spans="3:20" s="3" customFormat="1" ht="21" customHeight="1" thickBot="1" x14ac:dyDescent="0.3">
      <c r="C37" s="719"/>
      <c r="D37" s="494"/>
      <c r="E37" s="444"/>
      <c r="F37" s="647"/>
      <c r="G37" s="641"/>
      <c r="H37" s="629"/>
      <c r="I37" s="654"/>
      <c r="J37" s="654"/>
      <c r="K37" s="650"/>
      <c r="L37" s="457"/>
      <c r="M37" s="12"/>
      <c r="N37" s="15"/>
      <c r="T37" s="9"/>
    </row>
    <row r="38" spans="3:20" s="3" customFormat="1" ht="15" customHeight="1" x14ac:dyDescent="0.25">
      <c r="C38" s="719" t="str">
        <f>'Klasik, CNG, M3R, výrobce'!L29</f>
        <v>do 200 000</v>
      </c>
      <c r="D38" s="642" t="s">
        <v>15</v>
      </c>
      <c r="E38" s="643"/>
      <c r="F38" s="645"/>
      <c r="G38" s="639" t="s">
        <v>24</v>
      </c>
      <c r="H38" s="627" t="str">
        <f>IF(F15&gt;0,"",IF('ovládací prvky'!$C$6=4,"-",IF(OR(F38=0,D40=0),"",'Klasik, CNG, M3R, výrobce'!H82)))</f>
        <v/>
      </c>
      <c r="I38" s="655" t="str">
        <f>IF(F15&gt;0,"",IF(F15&gt;0,"",IF('ovládací prvky'!$C$6=4,"",IF(F38=0,"",'Klasik, CNG, M3R, výrobce'!V29))))</f>
        <v/>
      </c>
      <c r="J38" s="655" t="str">
        <f>IF(F15&gt;0,"",IF('ovládací prvky'!$C$6=4,"",IF(H38=0,"",IF(F38=0,"",'Klasik, CNG, M3R, výrobce'!X29))))</f>
        <v/>
      </c>
      <c r="K38" s="688" t="str">
        <f>IF(F15&gt;0,"-",IF('ovládací prvky'!$C$6=4,"-",IF(F38=0,"-",'Klasik, CNG, M3R, výrobce'!Y29)))</f>
        <v>-</v>
      </c>
      <c r="L38" s="7"/>
      <c r="M38" s="12"/>
      <c r="N38" s="15"/>
      <c r="T38" s="9"/>
    </row>
    <row r="39" spans="3:20" s="3" customFormat="1" ht="15" customHeight="1" x14ac:dyDescent="0.25">
      <c r="C39" s="719"/>
      <c r="D39" s="495" t="s">
        <v>29</v>
      </c>
      <c r="E39" s="445" t="s">
        <v>30</v>
      </c>
      <c r="F39" s="646"/>
      <c r="G39" s="640"/>
      <c r="H39" s="628"/>
      <c r="I39" s="653"/>
      <c r="J39" s="653"/>
      <c r="K39" s="649"/>
      <c r="L39" s="457" t="str">
        <f>IF(AND(F38&gt;0,$F$15&gt;0),"Pro kapacitu dle hist.maxima se nepočítá platba za klouzavou kapacitu.","")</f>
        <v/>
      </c>
      <c r="M39" s="12"/>
      <c r="N39" s="15"/>
      <c r="T39" s="9"/>
    </row>
    <row r="40" spans="3:20" ht="21" customHeight="1" thickBot="1" x14ac:dyDescent="0.3">
      <c r="C40" s="719"/>
      <c r="D40" s="494"/>
      <c r="E40" s="444"/>
      <c r="F40" s="647"/>
      <c r="G40" s="641"/>
      <c r="H40" s="629"/>
      <c r="I40" s="654"/>
      <c r="J40" s="654"/>
      <c r="K40" s="650"/>
      <c r="L40" s="457"/>
      <c r="N40" s="13"/>
      <c r="T40" s="16"/>
    </row>
    <row r="41" spans="3:20" ht="15" customHeight="1" x14ac:dyDescent="0.25">
      <c r="C41" s="719" t="str">
        <f>'Klasik, CNG, M3R, výrobce'!L30</f>
        <v>do 200 000</v>
      </c>
      <c r="D41" s="642" t="s">
        <v>16</v>
      </c>
      <c r="E41" s="643"/>
      <c r="F41" s="645"/>
      <c r="G41" s="639" t="s">
        <v>24</v>
      </c>
      <c r="H41" s="627" t="str">
        <f>IF(F15&gt;0,"",IF('ovládací prvky'!$C$6=4,"-",IF(OR(F41=0,D43=0),"",'Klasik, CNG, M3R, výrobce'!I82)))</f>
        <v/>
      </c>
      <c r="I41" s="655" t="str">
        <f>IF(F15&gt;0,"",IF('ovládací prvky'!$C$6=4,"",IF(F41=0,"",'Klasik, CNG, M3R, výrobce'!V30)))</f>
        <v/>
      </c>
      <c r="J41" s="655" t="str">
        <f>IF(F15&gt;0,"",IF('ovládací prvky'!$C$6=4,"",IF(H41=0,"",IF(F41=0,"",'Klasik, CNG, M3R, výrobce'!X30))))</f>
        <v/>
      </c>
      <c r="K41" s="688" t="str">
        <f>IF(F15&gt;0,"-",IF('ovládací prvky'!$C$6=4,"-",IF(F41=0,"-",'Klasik, CNG, M3R, výrobce'!Y30)))</f>
        <v>-</v>
      </c>
      <c r="N41" s="456"/>
    </row>
    <row r="42" spans="3:20" ht="15.6" customHeight="1" x14ac:dyDescent="0.25">
      <c r="C42" s="719"/>
      <c r="D42" s="495" t="s">
        <v>29</v>
      </c>
      <c r="E42" s="445" t="s">
        <v>30</v>
      </c>
      <c r="F42" s="646"/>
      <c r="G42" s="640"/>
      <c r="H42" s="628"/>
      <c r="I42" s="653"/>
      <c r="J42" s="653"/>
      <c r="K42" s="649"/>
      <c r="L42" s="457" t="str">
        <f>IF(AND(F41&gt;0,$F$15&gt;0),"Pro kapacitu dle hist.maxima se nepočítá platba za klouzavou kapacitu.","")</f>
        <v/>
      </c>
      <c r="N42" s="456"/>
    </row>
    <row r="43" spans="3:20" ht="21" customHeight="1" thickBot="1" x14ac:dyDescent="0.3">
      <c r="C43" s="719"/>
      <c r="D43" s="494"/>
      <c r="E43" s="444"/>
      <c r="F43" s="647"/>
      <c r="G43" s="641"/>
      <c r="H43" s="629"/>
      <c r="I43" s="654"/>
      <c r="J43" s="654"/>
      <c r="K43" s="689"/>
      <c r="L43" s="457"/>
    </row>
    <row r="44" spans="3:20" ht="13.95" customHeight="1" x14ac:dyDescent="0.25">
      <c r="C44" s="719" t="str">
        <f>'Klasik, CNG, M3R, výrobce'!M31</f>
        <v>do 200 000</v>
      </c>
      <c r="D44" s="691" t="s">
        <v>323</v>
      </c>
      <c r="E44" s="676"/>
      <c r="F44" s="692">
        <f>IF(F15&gt;0,"",IF('ovládací prvky'!$C$6=4,'Klasik, CNG, M3R, výrobce'!J38,'Klasik, CNG, M3R, výrobce'!F22))</f>
        <v>0</v>
      </c>
      <c r="G44" s="639" t="s">
        <v>24</v>
      </c>
      <c r="H44" s="639"/>
      <c r="I44" s="639"/>
      <c r="J44" s="668" t="str">
        <f>IF(OR(F44=0,F44=""),"",IF('ovládací prvky'!$C$6=4,'Klasik, CNG, M3R, výrobce'!L38,'Klasik, CNG, M3R, výrobce'!W31))</f>
        <v/>
      </c>
      <c r="K44" s="688" t="str">
        <f>IF(OR(F44=0,F44=""),"-",IF('ovládací prvky'!$C$6=4,'Klasik, CNG, M3R, výrobce'!M38,'Klasik, CNG, M3R, výrobce'!Y31))</f>
        <v>-</v>
      </c>
      <c r="L44" s="701" t="str">
        <f>IF(F15&gt;0,"Pro kapacitu dle hist.maxima se nepočítá platba za překročení.",IF('ovládací prvky'!K6=1,'ovládací prvky'!$J$7,IF('ovládací prvky'!C6=2,"dle CR CNG platí za překročení, pokud k němu došlo po 30.6.2022","")))</f>
        <v/>
      </c>
      <c r="M44" s="701"/>
      <c r="N44" s="701"/>
    </row>
    <row r="45" spans="3:20" ht="30.6" customHeight="1" x14ac:dyDescent="0.25">
      <c r="C45" s="719"/>
      <c r="D45" s="495" t="s">
        <v>360</v>
      </c>
      <c r="E45" s="449" t="s">
        <v>377</v>
      </c>
      <c r="F45" s="693"/>
      <c r="G45" s="640"/>
      <c r="H45" s="640"/>
      <c r="I45" s="640"/>
      <c r="J45" s="690"/>
      <c r="K45" s="649"/>
      <c r="L45" s="701"/>
      <c r="M45" s="701"/>
      <c r="N45" s="701"/>
    </row>
    <row r="46" spans="3:20" ht="15.6" customHeight="1" thickBot="1" x14ac:dyDescent="0.3">
      <c r="C46" s="719"/>
      <c r="D46" s="555"/>
      <c r="E46" s="451"/>
      <c r="F46" s="694"/>
      <c r="G46" s="685"/>
      <c r="H46" s="685"/>
      <c r="I46" s="685"/>
      <c r="J46" s="664"/>
      <c r="K46" s="689"/>
      <c r="L46" s="701"/>
      <c r="M46" s="701"/>
      <c r="N46" s="701"/>
    </row>
    <row r="47" spans="3:20" ht="38.700000000000003" customHeight="1" thickBot="1" x14ac:dyDescent="0.3">
      <c r="D47" s="672" t="s">
        <v>321</v>
      </c>
      <c r="E47" s="673"/>
      <c r="F47" s="673"/>
      <c r="G47" s="673"/>
      <c r="H47" s="673"/>
      <c r="I47" s="673"/>
      <c r="J47" s="674"/>
      <c r="K47" s="472">
        <f>IF(K14="neúplné údaje","neúplné údaje",IF(OR(L47="",L47='ovládací prvky'!J7),SUM(K14:K46),"neúplné údaje"))</f>
        <v>0</v>
      </c>
      <c r="L47" s="699" t="str">
        <f>IF(AND($E$46="",'ovládací prvky'!$C$6=3),'ovládací prvky'!$D$9,"")</f>
        <v/>
      </c>
      <c r="M47" s="700"/>
      <c r="N47" s="700"/>
    </row>
    <row r="48" spans="3:20" s="31" customFormat="1" ht="15.6" customHeight="1" thickBot="1" x14ac:dyDescent="0.35">
      <c r="C48" s="499"/>
      <c r="D48" s="686" t="s">
        <v>40</v>
      </c>
      <c r="E48" s="687"/>
      <c r="F48" s="341" t="str">
        <f>IF('ovládací prvky'!$C$6=4,"-",IF(F14="","",F14))</f>
        <v/>
      </c>
      <c r="G48" s="29" t="s">
        <v>4</v>
      </c>
      <c r="H48" s="30"/>
      <c r="I48" s="30"/>
      <c r="J48" s="27">
        <f>IF('ovládací prvky'!$C$6=4,"-",IF(F48=0,"",'Klasik, CNG, M3R, výrobce'!X32))</f>
        <v>4.0600000000000002E-3</v>
      </c>
      <c r="K48" s="28" t="str">
        <f>IF('ovládací prvky'!$C$6=4,"-",IF(F14=0,"",'Klasik, CNG, M3R, výrobce'!Y32))</f>
        <v/>
      </c>
      <c r="L48" s="328"/>
      <c r="M48" s="11"/>
      <c r="N48" s="11"/>
      <c r="O48" s="11"/>
      <c r="P48" s="11"/>
      <c r="Q48" s="11"/>
      <c r="R48" s="11"/>
      <c r="S48" s="11"/>
      <c r="T48" s="11"/>
    </row>
    <row r="49" spans="1:20" s="21" customFormat="1" ht="35.700000000000003" customHeight="1" thickTop="1" thickBot="1" x14ac:dyDescent="0.3">
      <c r="A49" s="554">
        <f>VLOOKUP('ovládací prvky'!$F$13,'Klasik, CNG, M3R, výrobce'!$D$60:$K$71,8,FALSE)</f>
        <v>46023</v>
      </c>
      <c r="C49" s="500"/>
      <c r="D49" s="656" t="s">
        <v>322</v>
      </c>
      <c r="E49" s="657"/>
      <c r="F49" s="657"/>
      <c r="G49" s="657"/>
      <c r="H49" s="657"/>
      <c r="I49" s="657"/>
      <c r="J49" s="658"/>
      <c r="K49" s="473">
        <f>IF(K14="neúplné údaje","neúplné údaje",SUM(K47:K48))</f>
        <v>0</v>
      </c>
      <c r="L49" s="328"/>
      <c r="M49" s="11"/>
      <c r="N49" s="11"/>
      <c r="O49" s="4"/>
      <c r="P49" s="4"/>
      <c r="Q49" s="4"/>
      <c r="R49" s="4"/>
      <c r="S49" s="4"/>
      <c r="T49" s="4"/>
    </row>
    <row r="50" spans="1:20" x14ac:dyDescent="0.25">
      <c r="A50" s="554">
        <f>VLOOKUP('ovládací prvky'!$F$13,'Klasik, CNG, M3R, výrobce'!$D$60:$L$71,9,FALSE)</f>
        <v>46053</v>
      </c>
      <c r="I50" s="18"/>
      <c r="L50" s="328"/>
      <c r="M50" s="11"/>
    </row>
    <row r="51" spans="1:20" x14ac:dyDescent="0.25">
      <c r="D51" s="3" t="s">
        <v>17</v>
      </c>
      <c r="F51" s="396" t="str">
        <f>IF(SUM(F19:F23)=0,"není zadána měsíční kapacita",'Klasik, CNG, M3R, výrobce'!P16)</f>
        <v>není zadána měsíční kapacita</v>
      </c>
      <c r="L51" s="19"/>
    </row>
    <row r="52" spans="1:20" x14ac:dyDescent="0.25">
      <c r="D52" s="3" t="s">
        <v>359</v>
      </c>
      <c r="F52" s="396" t="str">
        <f>IF(SUM(F29:F43)=0,"není zadána klouzavá kapacita",'Klasik, CNG, M3R, výrobce'!P26)</f>
        <v>není zadána klouzavá kapacita</v>
      </c>
      <c r="L52" s="19"/>
    </row>
    <row r="53" spans="1:20" x14ac:dyDescent="0.25">
      <c r="D53" s="3" t="s">
        <v>324</v>
      </c>
      <c r="F53" s="396" t="str">
        <f>IF(OR(K44=0,K44="-"),"nedošlo k nadlimitnímu překročení rezervované kapacity",'Klasik, CNG, M3R, výrobce'!$P$31)</f>
        <v>nedošlo k nadlimitnímu překročení rezervované kapacity</v>
      </c>
      <c r="L53" s="19"/>
    </row>
    <row r="54" spans="1:20" ht="30" customHeight="1" x14ac:dyDescent="0.25">
      <c r="N54" s="17"/>
    </row>
    <row r="55" spans="1:20" ht="19.5" customHeight="1" x14ac:dyDescent="0.4">
      <c r="D55" s="458" t="s">
        <v>430</v>
      </c>
      <c r="E55" s="2"/>
      <c r="F55" s="2"/>
      <c r="G55" s="32"/>
      <c r="K55" s="6"/>
      <c r="L55" s="329"/>
      <c r="M55" s="8"/>
    </row>
    <row r="56" spans="1:20" ht="21.6" thickBot="1" x14ac:dyDescent="0.45">
      <c r="D56" s="2"/>
      <c r="E56" s="2"/>
      <c r="K56" s="6"/>
      <c r="L56" s="329"/>
      <c r="M56" s="8"/>
    </row>
    <row r="57" spans="1:20" ht="33.75" customHeight="1" thickBot="1" x14ac:dyDescent="0.3">
      <c r="D57" s="659"/>
      <c r="E57" s="660"/>
      <c r="F57" s="452" t="s">
        <v>19</v>
      </c>
      <c r="G57" s="452" t="s">
        <v>20</v>
      </c>
      <c r="H57" s="452" t="s">
        <v>329</v>
      </c>
      <c r="I57" s="452" t="s">
        <v>330</v>
      </c>
      <c r="J57" s="452" t="s">
        <v>26</v>
      </c>
      <c r="K57" s="453" t="s">
        <v>21</v>
      </c>
    </row>
    <row r="58" spans="1:20" ht="25.5" customHeight="1" x14ac:dyDescent="0.25">
      <c r="D58" s="661" t="s">
        <v>326</v>
      </c>
      <c r="E58" s="643"/>
      <c r="F58" s="339"/>
      <c r="G58" s="385" t="s">
        <v>24</v>
      </c>
      <c r="H58" s="668"/>
      <c r="I58" s="668"/>
      <c r="J58" s="668"/>
      <c r="K58" s="669"/>
    </row>
    <row r="59" spans="1:20" ht="25.5" customHeight="1" x14ac:dyDescent="0.25">
      <c r="D59" s="630" t="s">
        <v>325</v>
      </c>
      <c r="E59" s="631"/>
      <c r="F59" s="450"/>
      <c r="G59" s="384"/>
      <c r="H59" s="388"/>
      <c r="I59" s="388"/>
      <c r="J59" s="388"/>
      <c r="K59" s="454"/>
    </row>
    <row r="60" spans="1:20" ht="29.25" customHeight="1" thickBot="1" x14ac:dyDescent="0.3">
      <c r="D60" s="662" t="s">
        <v>25</v>
      </c>
      <c r="E60" s="663"/>
      <c r="F60" s="451"/>
      <c r="G60" s="386" t="s">
        <v>24</v>
      </c>
      <c r="H60" s="664"/>
      <c r="I60" s="664"/>
      <c r="J60" s="664"/>
      <c r="K60" s="665"/>
      <c r="N60" s="324"/>
      <c r="O60" s="323"/>
    </row>
    <row r="61" spans="1:20" x14ac:dyDescent="0.25">
      <c r="D61" s="702" t="s">
        <v>361</v>
      </c>
      <c r="E61" s="703"/>
      <c r="F61" s="703"/>
      <c r="G61" s="703"/>
      <c r="H61" s="703"/>
      <c r="I61" s="703"/>
      <c r="J61" s="703"/>
      <c r="K61" s="704"/>
      <c r="N61" s="324"/>
      <c r="O61" s="323"/>
      <c r="P61" s="336"/>
      <c r="Q61" s="336"/>
    </row>
    <row r="62" spans="1:20" x14ac:dyDescent="0.25">
      <c r="D62" s="705"/>
      <c r="E62" s="706"/>
      <c r="F62" s="706"/>
      <c r="G62" s="706"/>
      <c r="H62" s="706"/>
      <c r="I62" s="706"/>
      <c r="J62" s="706"/>
      <c r="K62" s="707"/>
      <c r="N62" s="336"/>
      <c r="O62" s="336"/>
      <c r="P62" s="336"/>
      <c r="Q62" s="336"/>
    </row>
    <row r="63" spans="1:20" x14ac:dyDescent="0.25">
      <c r="D63" s="705"/>
      <c r="E63" s="706"/>
      <c r="F63" s="706"/>
      <c r="G63" s="706"/>
      <c r="H63" s="706"/>
      <c r="I63" s="706"/>
      <c r="J63" s="706"/>
      <c r="K63" s="707"/>
      <c r="N63" s="336"/>
      <c r="O63" s="336"/>
      <c r="P63" s="336"/>
      <c r="Q63" s="336"/>
    </row>
    <row r="64" spans="1:20" ht="14.4" thickBot="1" x14ac:dyDescent="0.3">
      <c r="D64" s="708"/>
      <c r="E64" s="709"/>
      <c r="F64" s="709"/>
      <c r="G64" s="709"/>
      <c r="H64" s="709"/>
      <c r="I64" s="709"/>
      <c r="J64" s="709"/>
      <c r="K64" s="710"/>
      <c r="L64" s="326"/>
      <c r="N64" s="336"/>
      <c r="O64" s="336"/>
      <c r="P64" s="336"/>
      <c r="Q64" s="336"/>
    </row>
    <row r="65" spans="3:20" ht="19.2" customHeight="1" thickBot="1" x14ac:dyDescent="0.3">
      <c r="D65" s="666" t="s">
        <v>6</v>
      </c>
      <c r="E65" s="667"/>
      <c r="F65" s="455"/>
      <c r="G65" s="387" t="s">
        <v>4</v>
      </c>
      <c r="H65" s="389"/>
      <c r="I65" s="389"/>
      <c r="J65" s="402">
        <f>'Špičkový odběr '!H19</f>
        <v>0.87583999999999995</v>
      </c>
      <c r="K65" s="390">
        <f>'Špičkový odběr '!I19</f>
        <v>0</v>
      </c>
      <c r="M65" s="332"/>
      <c r="N65" s="334"/>
      <c r="O65" s="20"/>
      <c r="P65" s="20"/>
      <c r="Q65" s="20"/>
    </row>
    <row r="66" spans="3:20" ht="13.95" customHeight="1" x14ac:dyDescent="0.25">
      <c r="D66" s="675" t="s">
        <v>323</v>
      </c>
      <c r="E66" s="676"/>
      <c r="F66" s="677"/>
      <c r="G66" s="679" t="s">
        <v>24</v>
      </c>
      <c r="H66" s="681"/>
      <c r="I66" s="681"/>
      <c r="J66" s="697">
        <f>'Špičkový odběr '!E19</f>
        <v>353.88175999999999</v>
      </c>
      <c r="K66" s="683">
        <f>'Špičkový odběr '!K19</f>
        <v>0</v>
      </c>
      <c r="L66" s="327"/>
      <c r="N66" s="334"/>
      <c r="O66" s="335"/>
    </row>
    <row r="67" spans="3:20" ht="15.6" customHeight="1" thickBot="1" x14ac:dyDescent="0.3">
      <c r="D67" s="333" t="s">
        <v>331</v>
      </c>
      <c r="E67" s="340"/>
      <c r="F67" s="678"/>
      <c r="G67" s="680"/>
      <c r="H67" s="682"/>
      <c r="I67" s="682"/>
      <c r="J67" s="698"/>
      <c r="K67" s="684"/>
      <c r="L67" s="327"/>
      <c r="N67" s="334"/>
    </row>
    <row r="68" spans="3:20" ht="15.6" customHeight="1" thickBot="1" x14ac:dyDescent="0.3">
      <c r="D68" s="672" t="s">
        <v>321</v>
      </c>
      <c r="E68" s="673"/>
      <c r="F68" s="673"/>
      <c r="G68" s="673"/>
      <c r="H68" s="673"/>
      <c r="I68" s="673"/>
      <c r="J68" s="674"/>
      <c r="K68" s="403">
        <f>SUM(K65:K67)</f>
        <v>0</v>
      </c>
      <c r="M68" s="332"/>
      <c r="N68" s="17"/>
    </row>
    <row r="69" spans="3:20" ht="19.5" customHeight="1" thickBot="1" x14ac:dyDescent="0.3">
      <c r="D69" s="670" t="s">
        <v>40</v>
      </c>
      <c r="E69" s="671"/>
      <c r="F69" s="341" t="str">
        <f>IF(F65=0,"",F65)</f>
        <v/>
      </c>
      <c r="G69" s="25" t="s">
        <v>4</v>
      </c>
      <c r="H69" s="26"/>
      <c r="I69" s="26"/>
      <c r="J69" s="27">
        <f>'Špičkový odběr '!D6</f>
        <v>4.0600000000000002E-3</v>
      </c>
      <c r="K69" s="28">
        <f>'Špičkový odběr '!J18</f>
        <v>0</v>
      </c>
      <c r="M69" s="332"/>
    </row>
    <row r="70" spans="3:20" s="21" customFormat="1" ht="21" customHeight="1" thickTop="1" thickBot="1" x14ac:dyDescent="0.3">
      <c r="C70" s="500"/>
      <c r="D70" s="656" t="s">
        <v>318</v>
      </c>
      <c r="E70" s="657"/>
      <c r="F70" s="657"/>
      <c r="G70" s="657"/>
      <c r="H70" s="657"/>
      <c r="I70" s="657"/>
      <c r="J70" s="658"/>
      <c r="K70" s="415" t="str">
        <f>IF(F65=0,"",SUM(K68:K69))</f>
        <v/>
      </c>
      <c r="L70" s="330"/>
      <c r="M70" s="332"/>
      <c r="N70" s="13"/>
      <c r="O70" s="4"/>
      <c r="P70" s="4"/>
      <c r="Q70" s="4"/>
      <c r="R70" s="4"/>
      <c r="S70" s="4"/>
      <c r="T70" s="4"/>
    </row>
    <row r="72" spans="3:20" x14ac:dyDescent="0.25">
      <c r="D72" s="3" t="s">
        <v>324</v>
      </c>
      <c r="F72" s="396" t="str">
        <f>IF(OR(K66=0,K66=""),"nedošlo k nadlimitnímu překročení rezervované kapacity",'Špičkový odběr '!K10)</f>
        <v>nedošlo k nadlimitnímu překročení rezervované kapacity</v>
      </c>
      <c r="L72" s="19"/>
    </row>
    <row r="74" spans="3:20" x14ac:dyDescent="0.25">
      <c r="D74" s="3" t="s">
        <v>428</v>
      </c>
    </row>
    <row r="75" spans="3:20" x14ac:dyDescent="0.25">
      <c r="D75" s="3" t="s">
        <v>18</v>
      </c>
    </row>
  </sheetData>
  <sheetProtection algorithmName="SHA-512" hashValue="tM1a3zAR+1WFHwfySGr/IlUBO65FUcKJxFhhFRqR+giRMeG5iCp18T8iF/Dx3O/ZvzuOA/xcchf0o6Z5z87vkQ==" saltValue="Qdf+SnIyhZ6s0pmkKJoEkQ==" spinCount="100000" sheet="1" formatCells="0" formatColumns="0" formatRows="0" selectLockedCells="1"/>
  <mergeCells count="91">
    <mergeCell ref="C29:C31"/>
    <mergeCell ref="C44:C46"/>
    <mergeCell ref="C41:C43"/>
    <mergeCell ref="C38:C40"/>
    <mergeCell ref="C35:C37"/>
    <mergeCell ref="C32:C34"/>
    <mergeCell ref="A11:B11"/>
    <mergeCell ref="D24:E24"/>
    <mergeCell ref="D25:E25"/>
    <mergeCell ref="D26:E26"/>
    <mergeCell ref="D27:E27"/>
    <mergeCell ref="D14:E14"/>
    <mergeCell ref="D18:E18"/>
    <mergeCell ref="D19:E19"/>
    <mergeCell ref="D20:E20"/>
    <mergeCell ref="D21:E21"/>
    <mergeCell ref="D16:E16"/>
    <mergeCell ref="D15:E15"/>
    <mergeCell ref="D17:E17"/>
    <mergeCell ref="D28:E28"/>
    <mergeCell ref="F5:I7"/>
    <mergeCell ref="J66:J67"/>
    <mergeCell ref="L47:N47"/>
    <mergeCell ref="L44:N46"/>
    <mergeCell ref="J41:J43"/>
    <mergeCell ref="I41:I43"/>
    <mergeCell ref="I32:I34"/>
    <mergeCell ref="J32:J34"/>
    <mergeCell ref="K32:K34"/>
    <mergeCell ref="K41:K43"/>
    <mergeCell ref="K35:K37"/>
    <mergeCell ref="K38:K40"/>
    <mergeCell ref="J38:J40"/>
    <mergeCell ref="I35:I37"/>
    <mergeCell ref="D61:K64"/>
    <mergeCell ref="I44:I46"/>
    <mergeCell ref="D49:J49"/>
    <mergeCell ref="D48:E48"/>
    <mergeCell ref="K44:K46"/>
    <mergeCell ref="D47:J47"/>
    <mergeCell ref="J44:J46"/>
    <mergeCell ref="D44:E44"/>
    <mergeCell ref="F44:F46"/>
    <mergeCell ref="G44:G46"/>
    <mergeCell ref="H44:H46"/>
    <mergeCell ref="D70:J70"/>
    <mergeCell ref="D57:E57"/>
    <mergeCell ref="D58:E58"/>
    <mergeCell ref="D60:E60"/>
    <mergeCell ref="H60:K60"/>
    <mergeCell ref="D65:E65"/>
    <mergeCell ref="H58:K58"/>
    <mergeCell ref="D69:E69"/>
    <mergeCell ref="D59:E59"/>
    <mergeCell ref="D68:J68"/>
    <mergeCell ref="D66:E66"/>
    <mergeCell ref="F66:F67"/>
    <mergeCell ref="G66:G67"/>
    <mergeCell ref="H66:H67"/>
    <mergeCell ref="I66:I67"/>
    <mergeCell ref="K66:K67"/>
    <mergeCell ref="J29:J31"/>
    <mergeCell ref="H32:H34"/>
    <mergeCell ref="D32:E32"/>
    <mergeCell ref="F35:F37"/>
    <mergeCell ref="D41:E41"/>
    <mergeCell ref="H41:H43"/>
    <mergeCell ref="G41:G43"/>
    <mergeCell ref="H38:H40"/>
    <mergeCell ref="D38:E38"/>
    <mergeCell ref="F38:F40"/>
    <mergeCell ref="F41:F43"/>
    <mergeCell ref="G38:G40"/>
    <mergeCell ref="J35:J37"/>
    <mergeCell ref="I38:I40"/>
    <mergeCell ref="F9:I11"/>
    <mergeCell ref="K9:L9"/>
    <mergeCell ref="L16:N18"/>
    <mergeCell ref="H35:H37"/>
    <mergeCell ref="D22:E22"/>
    <mergeCell ref="D23:E23"/>
    <mergeCell ref="D29:E29"/>
    <mergeCell ref="F29:F31"/>
    <mergeCell ref="G35:G37"/>
    <mergeCell ref="G32:G34"/>
    <mergeCell ref="D35:E35"/>
    <mergeCell ref="G29:G31"/>
    <mergeCell ref="F32:F34"/>
    <mergeCell ref="K29:K31"/>
    <mergeCell ref="H29:H31"/>
    <mergeCell ref="I29:I31"/>
  </mergeCells>
  <phoneticPr fontId="78" type="noConversion"/>
  <dataValidations xWindow="1071" yWindow="702" count="1">
    <dataValidation type="custom" allowBlank="1" showErrorMessage="1" errorTitle="Příliš mnoho desetinných míst!" error="Maximální počet desetinných míst, které můžete zadat je 2!" sqref="F58:F60" xr:uid="{09DCD299-7D1C-46E0-82B7-75E01ED97AFE}">
      <formula1>MOD(F58*100,1)=0</formula1>
    </dataValidation>
  </dataValidations>
  <pageMargins left="0.70866141732283472" right="0.70866141732283472" top="0.78740157480314965" bottom="0.78740157480314965" header="0.31496062992125984" footer="0.31496062992125984"/>
  <pageSetup paperSize="9" scale="50" orientation="landscape" r:id="rId1"/>
  <customProperties>
    <customPr name="EpmWorksheetKeyString_GUID" r:id="rId2"/>
  </customProperties>
  <ignoredErrors>
    <ignoredError sqref="F51:F52" formulaRange="1"/>
  </ignoredErrors>
  <drawing r:id="rId3"/>
  <legacyDrawing r:id="rId4"/>
  <mc:AlternateContent xmlns:mc="http://schemas.openxmlformats.org/markup-compatibility/2006">
    <mc:Choice Requires="x14">
      <controls>
        <mc:AlternateContent xmlns:mc="http://schemas.openxmlformats.org/markup-compatibility/2006">
          <mc:Choice Requires="x14">
            <control shapeId="6175" r:id="rId5" name="Group Box 31">
              <controlPr defaultSize="0" autoFill="0" autoPict="0">
                <anchor moveWithCells="1">
                  <from>
                    <xdr:col>6</xdr:col>
                    <xdr:colOff>678180</xdr:colOff>
                    <xdr:row>60</xdr:row>
                    <xdr:rowOff>60960</xdr:rowOff>
                  </from>
                  <to>
                    <xdr:col>9</xdr:col>
                    <xdr:colOff>22860</xdr:colOff>
                    <xdr:row>63</xdr:row>
                    <xdr:rowOff>137160</xdr:rowOff>
                  </to>
                </anchor>
              </controlPr>
            </control>
          </mc:Choice>
        </mc:AlternateContent>
        <mc:AlternateContent xmlns:mc="http://schemas.openxmlformats.org/markup-compatibility/2006">
          <mc:Choice Requires="x14">
            <control shapeId="6179" r:id="rId6" name="Option Button 35">
              <controlPr defaultSize="0" autoFill="0" autoLine="0" autoPict="0">
                <anchor moveWithCells="1">
                  <from>
                    <xdr:col>7</xdr:col>
                    <xdr:colOff>251460</xdr:colOff>
                    <xdr:row>60</xdr:row>
                    <xdr:rowOff>99060</xdr:rowOff>
                  </from>
                  <to>
                    <xdr:col>8</xdr:col>
                    <xdr:colOff>563880</xdr:colOff>
                    <xdr:row>61</xdr:row>
                    <xdr:rowOff>175260</xdr:rowOff>
                  </to>
                </anchor>
              </controlPr>
            </control>
          </mc:Choice>
        </mc:AlternateContent>
        <mc:AlternateContent xmlns:mc="http://schemas.openxmlformats.org/markup-compatibility/2006">
          <mc:Choice Requires="x14">
            <control shapeId="6180" r:id="rId7" name="Option Button 36">
              <controlPr defaultSize="0" autoFill="0" autoLine="0" autoPict="0">
                <anchor moveWithCells="1">
                  <from>
                    <xdr:col>7</xdr:col>
                    <xdr:colOff>251460</xdr:colOff>
                    <xdr:row>61</xdr:row>
                    <xdr:rowOff>152400</xdr:rowOff>
                  </from>
                  <to>
                    <xdr:col>8</xdr:col>
                    <xdr:colOff>594360</xdr:colOff>
                    <xdr:row>63</xdr:row>
                    <xdr:rowOff>22860</xdr:rowOff>
                  </to>
                </anchor>
              </controlPr>
            </control>
          </mc:Choice>
        </mc:AlternateContent>
        <mc:AlternateContent xmlns:mc="http://schemas.openxmlformats.org/markup-compatibility/2006">
          <mc:Choice Requires="x14">
            <control shapeId="6186" r:id="rId8" name="Drop Down 42">
              <controlPr locked="0" defaultSize="0" autoLine="0" autoPict="0">
                <anchor moveWithCells="1">
                  <from>
                    <xdr:col>3</xdr:col>
                    <xdr:colOff>2811780</xdr:colOff>
                    <xdr:row>2</xdr:row>
                    <xdr:rowOff>60960</xdr:rowOff>
                  </from>
                  <to>
                    <xdr:col>4</xdr:col>
                    <xdr:colOff>914400</xdr:colOff>
                    <xdr:row>3</xdr:row>
                    <xdr:rowOff>22860</xdr:rowOff>
                  </to>
                </anchor>
              </controlPr>
            </control>
          </mc:Choice>
        </mc:AlternateContent>
        <mc:AlternateContent xmlns:mc="http://schemas.openxmlformats.org/markup-compatibility/2006">
          <mc:Choice Requires="x14">
            <control shapeId="6187" r:id="rId9" name="Drop Down 43">
              <controlPr locked="0" defaultSize="0" autoLine="0" autoPict="0">
                <anchor moveWithCells="1">
                  <from>
                    <xdr:col>3</xdr:col>
                    <xdr:colOff>2811780</xdr:colOff>
                    <xdr:row>8</xdr:row>
                    <xdr:rowOff>60960</xdr:rowOff>
                  </from>
                  <to>
                    <xdr:col>4</xdr:col>
                    <xdr:colOff>914400</xdr:colOff>
                    <xdr:row>9</xdr:row>
                    <xdr:rowOff>0</xdr:rowOff>
                  </to>
                </anchor>
              </controlPr>
            </control>
          </mc:Choice>
        </mc:AlternateContent>
        <mc:AlternateContent xmlns:mc="http://schemas.openxmlformats.org/markup-compatibility/2006">
          <mc:Choice Requires="x14">
            <control shapeId="6190" r:id="rId10" name="souc_spot_tlac3">
              <controlPr locked="0" defaultSize="0" autoLine="0" autoPict="0" altText="">
                <anchor moveWithCells="1">
                  <from>
                    <xdr:col>9</xdr:col>
                    <xdr:colOff>22860</xdr:colOff>
                    <xdr:row>8</xdr:row>
                    <xdr:rowOff>76200</xdr:rowOff>
                  </from>
                  <to>
                    <xdr:col>10</xdr:col>
                    <xdr:colOff>563880</xdr:colOff>
                    <xdr:row>9</xdr:row>
                    <xdr:rowOff>30480</xdr:rowOff>
                  </to>
                </anchor>
              </controlPr>
            </control>
          </mc:Choice>
        </mc:AlternateContent>
        <mc:AlternateContent xmlns:mc="http://schemas.openxmlformats.org/markup-compatibility/2006">
          <mc:Choice Requires="x14">
            <control shapeId="6207" r:id="rId11" name="Drop Down 63">
              <controlPr locked="0" defaultSize="0" autoLine="0" autoPict="0">
                <anchor moveWithCells="1">
                  <from>
                    <xdr:col>3</xdr:col>
                    <xdr:colOff>2811780</xdr:colOff>
                    <xdr:row>10</xdr:row>
                    <xdr:rowOff>38100</xdr:rowOff>
                  </from>
                  <to>
                    <xdr:col>4</xdr:col>
                    <xdr:colOff>914400</xdr:colOff>
                    <xdr:row>11</xdr:row>
                    <xdr:rowOff>0</xdr:rowOff>
                  </to>
                </anchor>
              </controlPr>
            </control>
          </mc:Choice>
        </mc:AlternateContent>
        <mc:AlternateContent xmlns:mc="http://schemas.openxmlformats.org/markup-compatibility/2006">
          <mc:Choice Requires="x14">
            <control shapeId="6211" r:id="rId12" name="Drop Down 67">
              <controlPr locked="0" defaultSize="0" autoLine="0" autoPict="0" altText="">
                <anchor moveWithCells="1">
                  <from>
                    <xdr:col>9</xdr:col>
                    <xdr:colOff>0</xdr:colOff>
                    <xdr:row>2</xdr:row>
                    <xdr:rowOff>60960</xdr:rowOff>
                  </from>
                  <to>
                    <xdr:col>10</xdr:col>
                    <xdr:colOff>563880</xdr:colOff>
                    <xdr:row>3</xdr:row>
                    <xdr:rowOff>0</xdr:rowOff>
                  </to>
                </anchor>
              </controlPr>
            </control>
          </mc:Choice>
        </mc:AlternateContent>
        <mc:AlternateContent xmlns:mc="http://schemas.openxmlformats.org/markup-compatibility/2006">
          <mc:Choice Requires="x14">
            <control shapeId="6213" r:id="rId13" name="Drop Down 69">
              <controlPr locked="0" defaultSize="0" autoLine="0" autoPict="0">
                <anchor moveWithCells="1">
                  <from>
                    <xdr:col>3</xdr:col>
                    <xdr:colOff>2811780</xdr:colOff>
                    <xdr:row>4</xdr:row>
                    <xdr:rowOff>60960</xdr:rowOff>
                  </from>
                  <to>
                    <xdr:col>4</xdr:col>
                    <xdr:colOff>914400</xdr:colOff>
                    <xdr:row>5</xdr:row>
                    <xdr:rowOff>0</xdr:rowOff>
                  </to>
                </anchor>
              </controlPr>
            </control>
          </mc:Choice>
        </mc:AlternateContent>
        <mc:AlternateContent xmlns:mc="http://schemas.openxmlformats.org/markup-compatibility/2006">
          <mc:Choice Requires="x14">
            <control shapeId="6214" r:id="rId14" name="Drop Down 70">
              <controlPr locked="0" defaultSize="0" autoLine="0" autoPict="0">
                <anchor moveWithCells="1">
                  <from>
                    <xdr:col>3</xdr:col>
                    <xdr:colOff>2811780</xdr:colOff>
                    <xdr:row>6</xdr:row>
                    <xdr:rowOff>60960</xdr:rowOff>
                  </from>
                  <to>
                    <xdr:col>4</xdr:col>
                    <xdr:colOff>914400</xdr:colOff>
                    <xdr:row>7</xdr:row>
                    <xdr:rowOff>0</xdr:rowOff>
                  </to>
                </anchor>
              </controlPr>
            </control>
          </mc:Choice>
        </mc:AlternateContent>
        <mc:AlternateContent xmlns:mc="http://schemas.openxmlformats.org/markup-compatibility/2006">
          <mc:Choice Requires="x14">
            <control shapeId="6215" r:id="rId15" name="Nadlimit_tlac2">
              <controlPr locked="0" defaultSize="0" autoLine="0" autoPict="0">
                <anchor moveWithCells="1">
                  <from>
                    <xdr:col>8</xdr:col>
                    <xdr:colOff>800100</xdr:colOff>
                    <xdr:row>4</xdr:row>
                    <xdr:rowOff>137160</xdr:rowOff>
                  </from>
                  <to>
                    <xdr:col>10</xdr:col>
                    <xdr:colOff>556260</xdr:colOff>
                    <xdr:row>5</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71" yWindow="702" count="11">
        <x14:dataValidation type="list" allowBlank="1" showInputMessage="1" showErrorMessage="1" xr:uid="{4DF1D5A0-BF90-4030-980D-6F13B743C9C6}">
          <x14:formula1>
            <xm:f>'Klasik, CNG, M3R, výrobce'!$E$76:$E$77</xm:f>
          </x14:formula1>
          <xm:sqref>E31</xm:sqref>
        </x14:dataValidation>
        <x14:dataValidation type="list" allowBlank="1" showInputMessage="1" showErrorMessage="1" xr:uid="{F1B7CDD6-98C1-4E99-9A3E-73C719DEC9B5}">
          <x14:formula1>
            <xm:f>'Klasik, CNG, M3R, výrobce'!$F$76:$F$77</xm:f>
          </x14:formula1>
          <xm:sqref>E34</xm:sqref>
        </x14:dataValidation>
        <x14:dataValidation type="list" allowBlank="1" showInputMessage="1" showErrorMessage="1" xr:uid="{C868FC75-6B45-47E5-842C-D8AFD3C9DD17}">
          <x14:formula1>
            <xm:f>'Klasik, CNG, M3R, výrobce'!$G$76:$G$77</xm:f>
          </x14:formula1>
          <xm:sqref>E37</xm:sqref>
        </x14:dataValidation>
        <x14:dataValidation type="list" allowBlank="1" showInputMessage="1" showErrorMessage="1" xr:uid="{D20E5690-93E5-4F36-A588-95C98515656D}">
          <x14:formula1>
            <xm:f>'Klasik, CNG, M3R, výrobce'!$I$76:$I$77</xm:f>
          </x14:formula1>
          <xm:sqref>E43</xm:sqref>
        </x14:dataValidation>
        <x14:dataValidation type="list" allowBlank="1" showInputMessage="1" showErrorMessage="1" xr:uid="{EFA8A962-9E8A-47A3-8503-184F8976A170}">
          <x14:formula1>
            <xm:f>'Klasik, CNG, M3R, výrobce'!$H$76:$H$77</xm:f>
          </x14:formula1>
          <xm:sqref>E40</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3A97525C-48B7-4C4B-91CA-D56334E0D2C2}">
          <x14:formula1>
            <xm:f>'Klasik, CNG, M3R, výrobce'!$E$79</xm:f>
          </x14:formula1>
          <x14:formula2>
            <xm:f>'Klasik, CNG, M3R, výrobce'!$E$80</xm:f>
          </x14:formula2>
          <xm:sqref>D31</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94A4EAF2-83F7-4EB1-B21D-E911F5F5D921}">
          <x14:formula1>
            <xm:f>'Klasik, CNG, M3R, výrobce'!$I$79</xm:f>
          </x14:formula1>
          <x14:formula2>
            <xm:f>'Klasik, CNG, M3R, výrobce'!$I$80</xm:f>
          </x14:formula2>
          <xm:sqref>D43</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AB465005-E0B9-4AE9-8802-849D1D88C85E}">
          <x14:formula1>
            <xm:f>'Klasik, CNG, M3R, výrobce'!$G$79</xm:f>
          </x14:formula1>
          <x14:formula2>
            <xm:f>'Klasik, CNG, M3R, výrobce'!$G$80</xm:f>
          </x14:formula2>
          <xm:sqref>D37</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89EE2B26-7093-4B0F-81D9-7EBF443E173C}">
          <x14:formula1>
            <xm:f>'Klasik, CNG, M3R, výrobce'!$H$79</xm:f>
          </x14:formula1>
          <x14:formula2>
            <xm:f>'Klasik, CNG, M3R, výrobce'!$H$80</xm:f>
          </x14:formula2>
          <xm:sqref>D40</xm:sqref>
        </x14:dataValidation>
        <x14:dataValidation type="date" allowBlank="1" showInputMessage="1" showErrorMessage="1" xr:uid="{55EF8192-C1AC-4ADC-B7BD-10217AEDEF7E}">
          <x14:formula1>
            <xm:f>VLOOKUP('ovládací prvky'!$F$13,'Klasik, CNG, M3R, výrobce'!$D$60:$K$71,8,FALSE)</xm:f>
          </x14:formula1>
          <x14:formula2>
            <xm:f>VLOOKUP('ovládací prvky'!$F$13,'Klasik, CNG, M3R, výrobce'!$D$60:$L$71,9,FALSE)</xm:f>
          </x14:formula2>
          <xm:sqref>D46</xm:sqref>
        </x14:dataValidation>
        <x14:dataValidation type="date" allowBlank="1" showInputMessage="1" showErrorMessage="1" errorTitle="Chybné datum" error="Datum začátku klouz.kapacity není v rozmezí pro daný měsíc výpočtu. Může být minimálně od 2.dne předcházejícího měsíce a maximálně do konce měsíce výpočtu." xr:uid="{59BE2F15-8E99-4A05-B429-77F2017C585B}">
          <x14:formula1>
            <xm:f>'Klasik, CNG, M3R, výrobce'!$F$79</xm:f>
          </x14:formula1>
          <x14:formula2>
            <xm:f>'Klasik, CNG, M3R, výrobce'!$F$80</xm:f>
          </x14:formula2>
          <xm:sqref>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E247-2AC3-4818-8FAA-56FA04C785D3}">
  <sheetPr codeName="List5"/>
  <dimension ref="A1:L50"/>
  <sheetViews>
    <sheetView workbookViewId="0">
      <selection activeCell="A18" sqref="A18"/>
    </sheetView>
  </sheetViews>
  <sheetFormatPr defaultRowHeight="14.4" x14ac:dyDescent="0.3"/>
  <cols>
    <col min="1" max="1" width="12.88671875" bestFit="1" customWidth="1"/>
    <col min="4" max="4" width="14.5546875" customWidth="1"/>
    <col min="5" max="5" width="12.33203125" bestFit="1" customWidth="1"/>
    <col min="6" max="6" width="14.88671875" bestFit="1" customWidth="1"/>
    <col min="7" max="7" width="15.5546875" bestFit="1" customWidth="1"/>
    <col min="10" max="10" width="10.33203125" customWidth="1"/>
    <col min="12" max="12" width="9.88671875" bestFit="1" customWidth="1"/>
  </cols>
  <sheetData>
    <row r="1" spans="1:12" x14ac:dyDescent="0.3">
      <c r="A1" s="1" t="s">
        <v>426</v>
      </c>
      <c r="K1" s="610">
        <v>200000</v>
      </c>
    </row>
    <row r="2" spans="1:12" s="617" customFormat="1" ht="15" x14ac:dyDescent="0.35">
      <c r="A2" s="618" t="s">
        <v>422</v>
      </c>
    </row>
    <row r="3" spans="1:12" s="617" customFormat="1" x14ac:dyDescent="0.3"/>
    <row r="4" spans="1:12" s="617" customFormat="1" x14ac:dyDescent="0.3">
      <c r="A4" s="619">
        <v>610000</v>
      </c>
    </row>
    <row r="5" spans="1:12" s="617" customFormat="1" x14ac:dyDescent="0.3">
      <c r="A5" s="617">
        <v>605.41539999999998</v>
      </c>
    </row>
    <row r="6" spans="1:12" s="617" customFormat="1" x14ac:dyDescent="0.3">
      <c r="A6" s="617">
        <v>-28.5428</v>
      </c>
    </row>
    <row r="7" spans="1:12" s="617" customFormat="1" x14ac:dyDescent="0.3">
      <c r="A7" s="620">
        <v>6529.36</v>
      </c>
      <c r="D7" s="617" t="s">
        <v>407</v>
      </c>
      <c r="E7" s="617" t="s">
        <v>408</v>
      </c>
      <c r="F7" s="617" t="s">
        <v>409</v>
      </c>
    </row>
    <row r="8" spans="1:12" s="617" customFormat="1" x14ac:dyDescent="0.3">
      <c r="A8" s="620">
        <f>(((A5+A6*LN(K1))*200000)+(A7*10.69*2.48)/1000*400000+((A7*10.69*2.08)/1000*(A4-600000)))/A4*1000</f>
        <v>200157.81266582338</v>
      </c>
      <c r="D8" s="617">
        <v>189.72199000000001</v>
      </c>
      <c r="E8" s="612">
        <v>10174688.68</v>
      </c>
      <c r="F8" s="612">
        <f>A8/1000*A4/12</f>
        <v>10174688.810512688</v>
      </c>
    </row>
    <row r="9" spans="1:12" s="617" customFormat="1" x14ac:dyDescent="0.3"/>
    <row r="10" spans="1:12" s="617" customFormat="1" x14ac:dyDescent="0.3"/>
    <row r="11" spans="1:12" s="617" customFormat="1" ht="15" x14ac:dyDescent="0.3">
      <c r="A11" s="621" t="s">
        <v>423</v>
      </c>
    </row>
    <row r="12" spans="1:12" s="617" customFormat="1" x14ac:dyDescent="0.3"/>
    <row r="13" spans="1:12" s="617" customFormat="1" x14ac:dyDescent="0.3">
      <c r="A13" s="619">
        <v>410000</v>
      </c>
      <c r="D13" s="617" t="s">
        <v>407</v>
      </c>
      <c r="E13" s="617" t="s">
        <v>408</v>
      </c>
      <c r="F13" s="617" t="s">
        <v>409</v>
      </c>
    </row>
    <row r="14" spans="1:12" s="617" customFormat="1" x14ac:dyDescent="0.3">
      <c r="A14" s="620">
        <f>(((A5+A6*LN(K1))*200000)+((A7*10.69*2.48)/1000*(A13-200000)))/A13*1000</f>
        <v>214037.13998378604</v>
      </c>
      <c r="D14" s="617">
        <v>204.04243</v>
      </c>
      <c r="E14" s="612">
        <v>7312935.6200000001</v>
      </c>
      <c r="F14" s="612">
        <f>A14/1000*A13/12</f>
        <v>7312935.6161126895</v>
      </c>
    </row>
    <row r="15" spans="1:12" s="617" customFormat="1" x14ac:dyDescent="0.3">
      <c r="J15" s="620"/>
    </row>
    <row r="16" spans="1:12" s="617" customFormat="1" x14ac:dyDescent="0.3">
      <c r="J16" s="619"/>
      <c r="L16" s="622"/>
    </row>
    <row r="17" spans="1:10" s="617" customFormat="1" x14ac:dyDescent="0.3">
      <c r="A17" s="623" t="s">
        <v>427</v>
      </c>
      <c r="J17" s="622"/>
    </row>
    <row r="18" spans="1:10" s="617" customFormat="1" ht="15" x14ac:dyDescent="0.35">
      <c r="A18" s="618" t="s">
        <v>424</v>
      </c>
    </row>
    <row r="19" spans="1:10" s="617" customFormat="1" x14ac:dyDescent="0.3"/>
    <row r="20" spans="1:10" s="617" customFormat="1" x14ac:dyDescent="0.3">
      <c r="A20" s="619">
        <v>610000</v>
      </c>
    </row>
    <row r="21" spans="1:10" s="617" customFormat="1" x14ac:dyDescent="0.3">
      <c r="A21" s="617">
        <v>532.32860000000005</v>
      </c>
    </row>
    <row r="22" spans="1:10" s="617" customFormat="1" x14ac:dyDescent="0.3">
      <c r="A22" s="617">
        <v>-28.5428</v>
      </c>
    </row>
    <row r="23" spans="1:10" s="617" customFormat="1" x14ac:dyDescent="0.3">
      <c r="A23" s="620">
        <v>6529.36</v>
      </c>
      <c r="D23" s="617" t="s">
        <v>407</v>
      </c>
      <c r="E23" s="617" t="s">
        <v>408</v>
      </c>
      <c r="F23" s="617" t="s">
        <v>409</v>
      </c>
    </row>
    <row r="24" spans="1:10" s="617" customFormat="1" x14ac:dyDescent="0.3">
      <c r="A24" s="620">
        <f>(((A21+A22*LN(K1))*200000)+(A23*10.69*1.6)/1000*400000+((A23*10.69*1.43)/1000*(A20-600000)))/A20*1000</f>
        <v>135173.79506516765</v>
      </c>
      <c r="D24" s="617">
        <v>124.73797</v>
      </c>
      <c r="E24" s="612">
        <v>6871334.8300000001</v>
      </c>
      <c r="F24" s="612">
        <f>A24/1000*A20/12</f>
        <v>6871334.5824793549</v>
      </c>
      <c r="G24" s="620"/>
    </row>
    <row r="25" spans="1:10" s="617" customFormat="1" x14ac:dyDescent="0.3"/>
    <row r="26" spans="1:10" s="617" customFormat="1" x14ac:dyDescent="0.3"/>
    <row r="27" spans="1:10" s="617" customFormat="1" ht="15" x14ac:dyDescent="0.3">
      <c r="A27" s="621" t="s">
        <v>425</v>
      </c>
    </row>
    <row r="28" spans="1:10" s="617" customFormat="1" x14ac:dyDescent="0.3"/>
    <row r="29" spans="1:10" s="617" customFormat="1" x14ac:dyDescent="0.3">
      <c r="A29" s="619">
        <v>410000</v>
      </c>
      <c r="D29" s="617" t="s">
        <v>407</v>
      </c>
      <c r="E29" s="617" t="s">
        <v>408</v>
      </c>
      <c r="F29" s="617" t="s">
        <v>409</v>
      </c>
    </row>
    <row r="30" spans="1:10" s="617" customFormat="1" x14ac:dyDescent="0.3">
      <c r="A30" s="620">
        <f>(((A21+A22*LN(K1))*200000)+((A23*10.69*1.6)/1000*(A29-200000)))/A29*1000</f>
        <v>146924.48380739579</v>
      </c>
      <c r="D30" s="617">
        <v>136.92976999999999</v>
      </c>
      <c r="E30" s="612">
        <v>5019919.8634193568</v>
      </c>
      <c r="F30" s="612">
        <f>A30/1000*A29/12</f>
        <v>5019919.8634193568</v>
      </c>
    </row>
    <row r="31" spans="1:10" s="617" customFormat="1" x14ac:dyDescent="0.3"/>
    <row r="32" spans="1:10" s="617" customFormat="1" x14ac:dyDescent="0.3"/>
    <row r="33" spans="1:6" s="617" customFormat="1" x14ac:dyDescent="0.3">
      <c r="A33" s="623" t="s">
        <v>419</v>
      </c>
    </row>
    <row r="34" spans="1:6" s="617" customFormat="1" x14ac:dyDescent="0.3">
      <c r="A34" s="617" t="s">
        <v>420</v>
      </c>
    </row>
    <row r="35" spans="1:6" s="617" customFormat="1" x14ac:dyDescent="0.3"/>
    <row r="36" spans="1:6" s="617" customFormat="1" x14ac:dyDescent="0.3">
      <c r="A36" s="619">
        <v>100000</v>
      </c>
    </row>
    <row r="37" spans="1:6" s="617" customFormat="1" x14ac:dyDescent="0.3">
      <c r="A37" s="617">
        <v>605.41539999999998</v>
      </c>
    </row>
    <row r="38" spans="1:6" s="617" customFormat="1" x14ac:dyDescent="0.3">
      <c r="A38" s="617">
        <v>-28.5428</v>
      </c>
      <c r="D38" s="617" t="s">
        <v>407</v>
      </c>
      <c r="E38" s="617" t="s">
        <v>408</v>
      </c>
      <c r="F38" s="617" t="s">
        <v>409</v>
      </c>
    </row>
    <row r="39" spans="1:6" s="617" customFormat="1" x14ac:dyDescent="0.3">
      <c r="A39" s="620">
        <f>((A37+A38*LN(A36))*1000)</f>
        <v>276804.27103844774</v>
      </c>
      <c r="D39" s="617">
        <v>276.80426999999997</v>
      </c>
      <c r="E39" s="612">
        <v>2306702.25</v>
      </c>
      <c r="F39" s="612">
        <f>A39/1000*A36/12</f>
        <v>2306702.2586537311</v>
      </c>
    </row>
    <row r="40" spans="1:6" s="617" customFormat="1" x14ac:dyDescent="0.3"/>
    <row r="41" spans="1:6" s="617" customFormat="1" x14ac:dyDescent="0.3"/>
    <row r="42" spans="1:6" s="617" customFormat="1" x14ac:dyDescent="0.3">
      <c r="A42" s="623" t="s">
        <v>421</v>
      </c>
    </row>
    <row r="43" spans="1:6" s="617" customFormat="1" x14ac:dyDescent="0.3">
      <c r="A43" s="617" t="s">
        <v>420</v>
      </c>
    </row>
    <row r="44" spans="1:6" s="617" customFormat="1" x14ac:dyDescent="0.3"/>
    <row r="45" spans="1:6" s="617" customFormat="1" x14ac:dyDescent="0.3">
      <c r="A45" s="619">
        <v>100000</v>
      </c>
      <c r="D45" s="617" t="s">
        <v>407</v>
      </c>
      <c r="E45" s="617" t="s">
        <v>408</v>
      </c>
      <c r="F45" s="617" t="s">
        <v>409</v>
      </c>
    </row>
    <row r="46" spans="1:6" s="617" customFormat="1" x14ac:dyDescent="0.3">
      <c r="A46" s="617">
        <v>532.32860000000005</v>
      </c>
      <c r="D46" s="617">
        <v>203.71746999999999</v>
      </c>
      <c r="E46" s="612">
        <v>1697645.58</v>
      </c>
      <c r="F46" s="612">
        <f>A48/1000*A45/12</f>
        <v>1697645.591987065</v>
      </c>
    </row>
    <row r="47" spans="1:6" s="617" customFormat="1" x14ac:dyDescent="0.3">
      <c r="A47" s="617">
        <v>-28.5428</v>
      </c>
    </row>
    <row r="48" spans="1:6" s="617" customFormat="1" x14ac:dyDescent="0.3">
      <c r="A48" s="620">
        <f>((A46+A47*LN(A45))*1000)</f>
        <v>203717.47103844781</v>
      </c>
    </row>
    <row r="49" s="617" customFormat="1" x14ac:dyDescent="0.3"/>
    <row r="50" s="617" customFormat="1"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DE43-5A2B-40EC-A2E4-0CF4CE067416}">
  <sheetPr codeName="List3">
    <tabColor theme="6" tint="0.59999389629810485"/>
  </sheetPr>
  <dimension ref="A1:S35"/>
  <sheetViews>
    <sheetView topLeftCell="A6" workbookViewId="0">
      <pane xSplit="7" ySplit="3" topLeftCell="H9" activePane="bottomRight" state="frozen"/>
      <selection activeCell="G69" sqref="G69"/>
      <selection pane="topRight" activeCell="G69" sqref="G69"/>
      <selection pane="bottomLeft" activeCell="G69" sqref="G69"/>
      <selection pane="bottomRight" activeCell="I18" sqref="I18"/>
    </sheetView>
  </sheetViews>
  <sheetFormatPr defaultColWidth="8.6640625" defaultRowHeight="14.4" zeroHeight="1" x14ac:dyDescent="0.3"/>
  <cols>
    <col min="1" max="5" width="9.33203125" style="406" hidden="1" customWidth="1"/>
    <col min="6" max="6" width="12" style="406" customWidth="1"/>
    <col min="7" max="7" width="11.44140625" style="406" customWidth="1"/>
    <col min="8" max="10" width="11.33203125" style="406" customWidth="1"/>
    <col min="11" max="11" width="11.5546875" style="406" customWidth="1"/>
    <col min="12" max="13" width="8.6640625" style="406" customWidth="1"/>
    <col min="14" max="16" width="12.6640625" style="406" hidden="1" customWidth="1"/>
    <col min="17" max="19" width="12.6640625" style="406" customWidth="1"/>
    <col min="20" max="16384" width="8.6640625" style="406"/>
  </cols>
  <sheetData>
    <row r="1" spans="1:19" hidden="1" x14ac:dyDescent="0.3">
      <c r="A1" s="404" t="s">
        <v>46</v>
      </c>
      <c r="B1" s="405" t="s">
        <v>358</v>
      </c>
      <c r="F1" s="416" t="s">
        <v>286</v>
      </c>
    </row>
    <row r="3" spans="1:19" ht="18" hidden="1" x14ac:dyDescent="0.35">
      <c r="F3" s="720" t="s">
        <v>287</v>
      </c>
      <c r="G3" s="720"/>
      <c r="H3" s="720"/>
      <c r="I3" s="720"/>
      <c r="J3" s="720"/>
      <c r="K3" s="720"/>
      <c r="N3" s="720" t="s">
        <v>288</v>
      </c>
      <c r="O3" s="720"/>
      <c r="P3" s="720"/>
      <c r="Q3" s="720"/>
      <c r="R3" s="417"/>
      <c r="S3" s="417"/>
    </row>
    <row r="5" spans="1:19" hidden="1" x14ac:dyDescent="0.3">
      <c r="F5" s="418" t="s">
        <v>289</v>
      </c>
      <c r="G5" s="419"/>
      <c r="H5" s="419"/>
      <c r="I5" s="419"/>
      <c r="J5" s="419"/>
      <c r="N5" s="418" t="s">
        <v>290</v>
      </c>
    </row>
    <row r="6" spans="1:19" x14ac:dyDescent="0.3">
      <c r="F6" s="418" t="s">
        <v>429</v>
      </c>
      <c r="G6" s="420"/>
      <c r="H6" s="420"/>
      <c r="I6" s="420"/>
      <c r="J6" s="420"/>
    </row>
    <row r="7" spans="1:19" ht="43.2" x14ac:dyDescent="0.3">
      <c r="A7" s="407" t="s">
        <v>172</v>
      </c>
      <c r="B7" s="408">
        <f>'Klasik, CNG, M3R, výrobce'!D43-1</f>
        <v>46022</v>
      </c>
      <c r="C7" s="407"/>
      <c r="G7" s="419"/>
      <c r="H7" s="420"/>
      <c r="I7" s="420"/>
      <c r="J7" s="420"/>
    </row>
    <row r="8" spans="1:19" ht="40.200000000000003" thickBot="1" x14ac:dyDescent="0.35">
      <c r="A8" s="409" t="s">
        <v>173</v>
      </c>
      <c r="B8" s="410" t="s">
        <v>174</v>
      </c>
      <c r="C8" s="410" t="s">
        <v>175</v>
      </c>
      <c r="F8" s="421" t="s">
        <v>291</v>
      </c>
      <c r="G8" s="421" t="s">
        <v>292</v>
      </c>
      <c r="H8" s="421" t="s">
        <v>365</v>
      </c>
      <c r="I8" s="421" t="s">
        <v>293</v>
      </c>
      <c r="J8" s="421" t="s">
        <v>294</v>
      </c>
      <c r="N8" s="422" t="s">
        <v>291</v>
      </c>
      <c r="O8" s="423" t="s">
        <v>292</v>
      </c>
      <c r="P8" s="424" t="s">
        <v>295</v>
      </c>
      <c r="Q8" s="425"/>
    </row>
    <row r="9" spans="1:19" x14ac:dyDescent="0.3">
      <c r="A9" s="409">
        <v>1</v>
      </c>
      <c r="B9" s="411" t="s">
        <v>56</v>
      </c>
      <c r="C9" s="412">
        <f>DAY(EOMONTH(DATE(YEAR(B7),$A9,1),0))</f>
        <v>31</v>
      </c>
      <c r="F9" s="426">
        <f>G9-$C9+1</f>
        <v>45658</v>
      </c>
      <c r="G9" s="426">
        <f>EOMONTH(DATE(YEAR($B$7),$A9,1),0)</f>
        <v>45688</v>
      </c>
      <c r="H9" s="413"/>
      <c r="I9" s="428">
        <f>C9</f>
        <v>31</v>
      </c>
      <c r="J9" s="428">
        <f>(H9/21)*(31/I9)</f>
        <v>0</v>
      </c>
      <c r="N9" s="429">
        <f>F9</f>
        <v>45658</v>
      </c>
      <c r="O9" s="429">
        <f>G9</f>
        <v>45688</v>
      </c>
      <c r="P9" s="427">
        <v>7215</v>
      </c>
    </row>
    <row r="10" spans="1:19" x14ac:dyDescent="0.3">
      <c r="A10" s="409">
        <v>2</v>
      </c>
      <c r="B10" s="411" t="s">
        <v>58</v>
      </c>
      <c r="C10" s="412">
        <f>DAY(EOMONTH(DATE(YEAR(B7),$A10,1),0))</f>
        <v>28</v>
      </c>
      <c r="F10" s="426">
        <f t="shared" ref="F10:F20" si="0">G10-$C10+1</f>
        <v>45689</v>
      </c>
      <c r="G10" s="426">
        <f t="shared" ref="G10:G20" si="1">EOMONTH(DATE(YEAR($B$7),$A10,1),0)</f>
        <v>45716</v>
      </c>
      <c r="H10" s="413"/>
      <c r="I10" s="428">
        <f t="shared" ref="I10:I20" si="2">C10</f>
        <v>28</v>
      </c>
      <c r="J10" s="428">
        <f t="shared" ref="J10:J20" si="3">(H10/21)*(31/I10)</f>
        <v>0</v>
      </c>
      <c r="N10" s="429">
        <f t="shared" ref="N10:O20" si="4">F10</f>
        <v>45689</v>
      </c>
      <c r="O10" s="429">
        <f t="shared" si="4"/>
        <v>45716</v>
      </c>
      <c r="P10" s="427">
        <v>10333</v>
      </c>
    </row>
    <row r="11" spans="1:19" x14ac:dyDescent="0.3">
      <c r="A11" s="409">
        <v>3</v>
      </c>
      <c r="B11" s="411" t="s">
        <v>60</v>
      </c>
      <c r="C11" s="412">
        <f>DAY(EOMONTH(DATE(YEAR(B7),$A11,1),0))</f>
        <v>31</v>
      </c>
      <c r="F11" s="426">
        <f t="shared" si="0"/>
        <v>45717</v>
      </c>
      <c r="G11" s="426">
        <f t="shared" si="1"/>
        <v>45747</v>
      </c>
      <c r="H11" s="413"/>
      <c r="I11" s="428">
        <f t="shared" si="2"/>
        <v>31</v>
      </c>
      <c r="J11" s="428">
        <f t="shared" si="3"/>
        <v>0</v>
      </c>
      <c r="N11" s="429">
        <f t="shared" si="4"/>
        <v>45717</v>
      </c>
      <c r="O11" s="429">
        <f t="shared" si="4"/>
        <v>45747</v>
      </c>
      <c r="P11" s="427">
        <v>8112</v>
      </c>
    </row>
    <row r="12" spans="1:19" x14ac:dyDescent="0.3">
      <c r="A12" s="409">
        <v>4</v>
      </c>
      <c r="B12" s="411" t="s">
        <v>66</v>
      </c>
      <c r="C12" s="412">
        <f>DAY(EOMONTH(DATE(YEAR(B7),$A12,1),0))</f>
        <v>30</v>
      </c>
      <c r="F12" s="426">
        <f t="shared" si="0"/>
        <v>45748</v>
      </c>
      <c r="G12" s="426">
        <f t="shared" si="1"/>
        <v>45777</v>
      </c>
      <c r="H12" s="413"/>
      <c r="I12" s="428">
        <f t="shared" si="2"/>
        <v>30</v>
      </c>
      <c r="J12" s="428">
        <f t="shared" si="3"/>
        <v>0</v>
      </c>
      <c r="N12" s="429">
        <f t="shared" si="4"/>
        <v>45748</v>
      </c>
      <c r="O12" s="429">
        <f t="shared" si="4"/>
        <v>45777</v>
      </c>
      <c r="P12" s="427">
        <v>1621</v>
      </c>
    </row>
    <row r="13" spans="1:19" x14ac:dyDescent="0.3">
      <c r="A13" s="409">
        <v>5</v>
      </c>
      <c r="B13" s="411" t="s">
        <v>70</v>
      </c>
      <c r="C13" s="412">
        <f>DAY(EOMONTH(DATE(YEAR(B7),$A13,1),0))</f>
        <v>31</v>
      </c>
      <c r="F13" s="426">
        <f t="shared" si="0"/>
        <v>45778</v>
      </c>
      <c r="G13" s="426">
        <f t="shared" si="1"/>
        <v>45808</v>
      </c>
      <c r="H13" s="413"/>
      <c r="I13" s="428">
        <f t="shared" si="2"/>
        <v>31</v>
      </c>
      <c r="J13" s="428">
        <f t="shared" si="3"/>
        <v>0</v>
      </c>
      <c r="N13" s="429">
        <f t="shared" si="4"/>
        <v>45778</v>
      </c>
      <c r="O13" s="429">
        <f t="shared" si="4"/>
        <v>45808</v>
      </c>
      <c r="P13" s="427">
        <v>576</v>
      </c>
    </row>
    <row r="14" spans="1:19" x14ac:dyDescent="0.3">
      <c r="A14" s="409">
        <v>6</v>
      </c>
      <c r="B14" s="411" t="s">
        <v>90</v>
      </c>
      <c r="C14" s="412">
        <f>DAY(EOMONTH(DATE(YEAR(B7),$A14,1),0))</f>
        <v>30</v>
      </c>
      <c r="F14" s="426">
        <f t="shared" si="0"/>
        <v>45809</v>
      </c>
      <c r="G14" s="426">
        <f t="shared" si="1"/>
        <v>45838</v>
      </c>
      <c r="H14" s="413"/>
      <c r="I14" s="428">
        <f t="shared" si="2"/>
        <v>30</v>
      </c>
      <c r="J14" s="428">
        <f t="shared" si="3"/>
        <v>0</v>
      </c>
      <c r="N14" s="429">
        <f t="shared" si="4"/>
        <v>45809</v>
      </c>
      <c r="O14" s="429">
        <f t="shared" si="4"/>
        <v>45838</v>
      </c>
      <c r="P14" s="427">
        <v>550</v>
      </c>
    </row>
    <row r="15" spans="1:19" x14ac:dyDescent="0.3">
      <c r="A15" s="409">
        <v>7</v>
      </c>
      <c r="B15" s="411" t="s">
        <v>93</v>
      </c>
      <c r="C15" s="412">
        <f>DAY(EOMONTH(DATE(YEAR(B7),$A15,1),0))</f>
        <v>31</v>
      </c>
      <c r="F15" s="426">
        <f t="shared" si="0"/>
        <v>45839</v>
      </c>
      <c r="G15" s="426">
        <f t="shared" si="1"/>
        <v>45869</v>
      </c>
      <c r="H15" s="413"/>
      <c r="I15" s="428">
        <f t="shared" si="2"/>
        <v>31</v>
      </c>
      <c r="J15" s="428">
        <f t="shared" si="3"/>
        <v>0</v>
      </c>
      <c r="N15" s="429">
        <f t="shared" si="4"/>
        <v>45839</v>
      </c>
      <c r="O15" s="429">
        <f t="shared" si="4"/>
        <v>45869</v>
      </c>
      <c r="P15" s="427">
        <v>415</v>
      </c>
    </row>
    <row r="16" spans="1:19" x14ac:dyDescent="0.3">
      <c r="A16" s="409">
        <v>8</v>
      </c>
      <c r="B16" s="411" t="s">
        <v>96</v>
      </c>
      <c r="C16" s="412">
        <f>DAY(EOMONTH(DATE(YEAR(B7),$A16,1),0))</f>
        <v>31</v>
      </c>
      <c r="F16" s="426">
        <f t="shared" si="0"/>
        <v>45870</v>
      </c>
      <c r="G16" s="426">
        <f t="shared" si="1"/>
        <v>45900</v>
      </c>
      <c r="H16" s="413"/>
      <c r="I16" s="428">
        <f t="shared" si="2"/>
        <v>31</v>
      </c>
      <c r="J16" s="428">
        <f t="shared" si="3"/>
        <v>0</v>
      </c>
      <c r="N16" s="429">
        <f t="shared" si="4"/>
        <v>45870</v>
      </c>
      <c r="O16" s="429">
        <f t="shared" si="4"/>
        <v>45900</v>
      </c>
      <c r="P16" s="427">
        <v>363</v>
      </c>
    </row>
    <row r="17" spans="1:16" x14ac:dyDescent="0.3">
      <c r="A17" s="409">
        <v>9</v>
      </c>
      <c r="B17" s="411" t="s">
        <v>99</v>
      </c>
      <c r="C17" s="412">
        <f>DAY(EOMONTH(DATE(YEAR(B7),$A17,1),0))</f>
        <v>30</v>
      </c>
      <c r="F17" s="426">
        <f t="shared" si="0"/>
        <v>45901</v>
      </c>
      <c r="G17" s="426">
        <f t="shared" si="1"/>
        <v>45930</v>
      </c>
      <c r="H17" s="413"/>
      <c r="I17" s="428">
        <f t="shared" si="2"/>
        <v>30</v>
      </c>
      <c r="J17" s="428">
        <f t="shared" si="3"/>
        <v>0</v>
      </c>
      <c r="N17" s="429">
        <f t="shared" si="4"/>
        <v>45901</v>
      </c>
      <c r="O17" s="429">
        <f t="shared" si="4"/>
        <v>45930</v>
      </c>
      <c r="P17" s="427">
        <v>673</v>
      </c>
    </row>
    <row r="18" spans="1:16" x14ac:dyDescent="0.3">
      <c r="A18" s="409">
        <v>10</v>
      </c>
      <c r="B18" s="411" t="s">
        <v>102</v>
      </c>
      <c r="C18" s="412">
        <f>DAY(EOMONTH(DATE(YEAR(B7),$A18,1),0))</f>
        <v>31</v>
      </c>
      <c r="F18" s="426">
        <f t="shared" si="0"/>
        <v>45931</v>
      </c>
      <c r="G18" s="426">
        <f t="shared" si="1"/>
        <v>45961</v>
      </c>
      <c r="H18" s="413"/>
      <c r="I18" s="428">
        <f t="shared" si="2"/>
        <v>31</v>
      </c>
      <c r="J18" s="428">
        <f t="shared" si="3"/>
        <v>0</v>
      </c>
      <c r="N18" s="429">
        <f t="shared" si="4"/>
        <v>45931</v>
      </c>
      <c r="O18" s="429">
        <f t="shared" si="4"/>
        <v>45961</v>
      </c>
      <c r="P18" s="427">
        <v>2081</v>
      </c>
    </row>
    <row r="19" spans="1:16" x14ac:dyDescent="0.3">
      <c r="A19" s="409">
        <v>11</v>
      </c>
      <c r="B19" s="411" t="s">
        <v>105</v>
      </c>
      <c r="C19" s="412">
        <f>DAY(EOMONTH(DATE(YEAR(B7),$A19,1),0))</f>
        <v>30</v>
      </c>
      <c r="F19" s="426">
        <f t="shared" si="0"/>
        <v>45962</v>
      </c>
      <c r="G19" s="426">
        <f t="shared" si="1"/>
        <v>45991</v>
      </c>
      <c r="H19" s="413"/>
      <c r="I19" s="428">
        <f t="shared" si="2"/>
        <v>30</v>
      </c>
      <c r="J19" s="428">
        <f t="shared" si="3"/>
        <v>0</v>
      </c>
      <c r="N19" s="429">
        <f t="shared" si="4"/>
        <v>45962</v>
      </c>
      <c r="O19" s="429">
        <f t="shared" si="4"/>
        <v>45991</v>
      </c>
      <c r="P19" s="427">
        <v>5311</v>
      </c>
    </row>
    <row r="20" spans="1:16" x14ac:dyDescent="0.3">
      <c r="A20" s="409">
        <v>12</v>
      </c>
      <c r="B20" s="411" t="s">
        <v>108</v>
      </c>
      <c r="C20" s="412">
        <f>DAY(EOMONTH(DATE(YEAR(B7),$A20,1),0))</f>
        <v>31</v>
      </c>
      <c r="F20" s="426">
        <f t="shared" si="0"/>
        <v>45992</v>
      </c>
      <c r="G20" s="426">
        <f t="shared" si="1"/>
        <v>46022</v>
      </c>
      <c r="H20" s="413"/>
      <c r="I20" s="428">
        <f t="shared" si="2"/>
        <v>31</v>
      </c>
      <c r="J20" s="428">
        <f t="shared" si="3"/>
        <v>0</v>
      </c>
      <c r="N20" s="429">
        <f t="shared" si="4"/>
        <v>45992</v>
      </c>
      <c r="O20" s="429">
        <f t="shared" si="4"/>
        <v>46022</v>
      </c>
      <c r="P20" s="427">
        <v>6868</v>
      </c>
    </row>
    <row r="21" spans="1:16" x14ac:dyDescent="0.3">
      <c r="A21" s="407"/>
      <c r="B21" s="407"/>
      <c r="C21" s="414">
        <f>SUM(C9:C20)</f>
        <v>365</v>
      </c>
      <c r="F21" s="419"/>
      <c r="G21" s="419"/>
      <c r="H21" s="430"/>
      <c r="I21" s="419"/>
      <c r="J21" s="419"/>
      <c r="N21" s="425"/>
      <c r="O21" s="425"/>
      <c r="P21" s="431">
        <f>SUM(P9:P20)</f>
        <v>44118</v>
      </c>
    </row>
    <row r="22" spans="1:16" ht="28.8" x14ac:dyDescent="0.3">
      <c r="G22" s="419"/>
      <c r="I22" s="432" t="s">
        <v>296</v>
      </c>
      <c r="J22" s="433">
        <f>ROUND(MAX(J9:J20),2)</f>
        <v>0</v>
      </c>
      <c r="N22" s="425"/>
      <c r="O22" s="432" t="s">
        <v>296</v>
      </c>
      <c r="P22" s="434">
        <f>FLOOR(P21/115,1)</f>
        <v>383</v>
      </c>
    </row>
    <row r="23" spans="1:16" x14ac:dyDescent="0.3">
      <c r="F23" s="419"/>
    </row>
    <row r="24" spans="1:16" hidden="1" x14ac:dyDescent="0.3">
      <c r="F24" s="721" t="s">
        <v>297</v>
      </c>
      <c r="G24" s="721"/>
      <c r="H24" s="435"/>
      <c r="I24" s="435"/>
      <c r="N24" s="721" t="s">
        <v>297</v>
      </c>
      <c r="O24" s="721"/>
    </row>
    <row r="25" spans="1:16" hidden="1" x14ac:dyDescent="0.3">
      <c r="F25" s="436" t="s">
        <v>298</v>
      </c>
      <c r="G25" s="435">
        <v>3240029165</v>
      </c>
      <c r="H25" s="435" t="s">
        <v>232</v>
      </c>
      <c r="I25" s="437" t="s">
        <v>299</v>
      </c>
      <c r="N25" s="406" t="s">
        <v>300</v>
      </c>
      <c r="O25" s="435">
        <v>6246000023</v>
      </c>
    </row>
    <row r="26" spans="1:16" hidden="1" x14ac:dyDescent="0.3">
      <c r="F26" s="438" t="s">
        <v>301</v>
      </c>
      <c r="G26" s="439">
        <v>119001898952</v>
      </c>
      <c r="H26" s="435"/>
      <c r="I26" s="435"/>
      <c r="N26" s="406" t="s">
        <v>302</v>
      </c>
      <c r="O26" s="439">
        <v>110001540357</v>
      </c>
    </row>
    <row r="27" spans="1:16" hidden="1" x14ac:dyDescent="0.3">
      <c r="F27" s="435"/>
      <c r="G27" s="435"/>
      <c r="H27" s="435"/>
      <c r="I27" s="435"/>
    </row>
    <row r="28" spans="1:16" hidden="1" x14ac:dyDescent="0.3">
      <c r="F28" s="438" t="s">
        <v>303</v>
      </c>
      <c r="G28" s="437">
        <v>3240001385</v>
      </c>
      <c r="H28" s="435"/>
      <c r="I28" s="435"/>
    </row>
    <row r="29" spans="1:16" hidden="1" x14ac:dyDescent="0.3">
      <c r="F29" s="438" t="s">
        <v>302</v>
      </c>
      <c r="G29" s="440">
        <v>113004696659</v>
      </c>
      <c r="H29" s="435"/>
      <c r="I29" s="435"/>
    </row>
    <row r="32" spans="1:16" x14ac:dyDescent="0.3"/>
    <row r="33" x14ac:dyDescent="0.3"/>
    <row r="34" x14ac:dyDescent="0.3"/>
    <row r="35" x14ac:dyDescent="0.3"/>
  </sheetData>
  <sheetProtection algorithmName="SHA-512" hashValue="lELI+JAUSat4OXt0UQX1fgD9IRXUaHcwfMlyLP3Xihy/w/8sCFIlvZ6LnLU/K2JdM4WlAeLKNN4oPLuO+2dFhQ==" saltValue="2ROuDBI8hFytb0M1mgnl9A==" spinCount="100000" sheet="1" objects="1" scenarios="1"/>
  <mergeCells count="4">
    <mergeCell ref="F3:K3"/>
    <mergeCell ref="N3:Q3"/>
    <mergeCell ref="F24:G24"/>
    <mergeCell ref="N24:O24"/>
  </mergeCells>
  <pageMargins left="0.7" right="0.7" top="0.78740157499999996" bottom="0.78740157499999996"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42DB-CA6D-4179-AC29-A0D67D81BDFF}">
  <sheetPr codeName="List2"/>
  <dimension ref="A1:AH65"/>
  <sheetViews>
    <sheetView zoomScale="85" zoomScaleNormal="85" workbookViewId="0">
      <selection activeCell="G14" sqref="G14"/>
    </sheetView>
  </sheetViews>
  <sheetFormatPr defaultColWidth="8.6640625" defaultRowHeight="14.4" x14ac:dyDescent="0.3"/>
  <cols>
    <col min="1" max="1" width="10.6640625" customWidth="1"/>
    <col min="2" max="2" width="28.6640625" customWidth="1"/>
    <col min="3" max="3" width="10.33203125" bestFit="1" customWidth="1"/>
    <col min="4" max="4" width="13" customWidth="1"/>
    <col min="5" max="5" width="10.5546875" bestFit="1" customWidth="1"/>
    <col min="6" max="7" width="12.5546875" bestFit="1" customWidth="1"/>
    <col min="8" max="8" width="11.5546875" bestFit="1" customWidth="1"/>
    <col min="9" max="9" width="42.6640625" bestFit="1" customWidth="1"/>
    <col min="10" max="10" width="27.5546875" customWidth="1"/>
    <col min="11" max="11" width="38.44140625" bestFit="1" customWidth="1"/>
    <col min="12" max="12" width="12.33203125" bestFit="1" customWidth="1"/>
    <col min="13" max="13" width="15.5546875" bestFit="1" customWidth="1"/>
    <col min="14" max="14" width="10.33203125" bestFit="1" customWidth="1"/>
    <col min="15" max="16" width="18" bestFit="1" customWidth="1"/>
    <col min="17" max="34" width="10.33203125" bestFit="1" customWidth="1"/>
  </cols>
  <sheetData>
    <row r="1" spans="1:17" x14ac:dyDescent="0.3">
      <c r="J1" s="1" t="s">
        <v>32</v>
      </c>
    </row>
    <row r="2" spans="1:17" x14ac:dyDescent="0.3">
      <c r="G2" t="s">
        <v>54</v>
      </c>
      <c r="H2" s="370">
        <v>2</v>
      </c>
      <c r="J2" s="370">
        <v>1</v>
      </c>
      <c r="K2" s="46">
        <v>1</v>
      </c>
      <c r="L2" t="s">
        <v>41</v>
      </c>
      <c r="M2" t="s">
        <v>53</v>
      </c>
    </row>
    <row r="3" spans="1:17" x14ac:dyDescent="0.3">
      <c r="G3" s="342" t="s">
        <v>308</v>
      </c>
      <c r="H3">
        <v>1</v>
      </c>
      <c r="I3" t="s">
        <v>186</v>
      </c>
      <c r="K3" s="46">
        <v>2</v>
      </c>
      <c r="L3" t="s">
        <v>185</v>
      </c>
      <c r="M3" t="s">
        <v>154</v>
      </c>
      <c r="N3" t="s">
        <v>306</v>
      </c>
    </row>
    <row r="4" spans="1:17" x14ac:dyDescent="0.3">
      <c r="G4" s="342" t="s">
        <v>309</v>
      </c>
      <c r="H4">
        <v>2</v>
      </c>
      <c r="I4" t="s">
        <v>55</v>
      </c>
    </row>
    <row r="5" spans="1:17" x14ac:dyDescent="0.3">
      <c r="D5" t="s">
        <v>362</v>
      </c>
      <c r="L5" s="345"/>
    </row>
    <row r="6" spans="1:17" ht="28.8" x14ac:dyDescent="0.3">
      <c r="B6" s="343" t="s">
        <v>349</v>
      </c>
      <c r="C6" s="391">
        <v>1</v>
      </c>
      <c r="J6" s="343" t="s">
        <v>351</v>
      </c>
      <c r="K6" s="391">
        <v>2</v>
      </c>
      <c r="L6" s="345"/>
    </row>
    <row r="7" spans="1:17" ht="14.7" customHeight="1" x14ac:dyDescent="0.3">
      <c r="B7" s="395" t="s">
        <v>356</v>
      </c>
      <c r="C7">
        <v>1</v>
      </c>
      <c r="G7" t="str">
        <f>IF(AND('ovládací prvky'!$C$6=3,'Výpočet ceny distribuce'!E46&gt;'Výpočet ceny distribuce'!F16),'ovládací prvky'!$E$9,"")</f>
        <v/>
      </c>
      <c r="J7" s="724" t="s">
        <v>412</v>
      </c>
      <c r="K7" s="344" t="s">
        <v>304</v>
      </c>
      <c r="L7" s="461">
        <v>1</v>
      </c>
      <c r="M7" s="461"/>
      <c r="N7" s="461"/>
      <c r="O7" s="461"/>
    </row>
    <row r="8" spans="1:17" x14ac:dyDescent="0.3">
      <c r="B8" s="395" t="s">
        <v>350</v>
      </c>
      <c r="C8">
        <v>2</v>
      </c>
      <c r="J8" s="725"/>
      <c r="K8" s="344" t="s">
        <v>72</v>
      </c>
      <c r="L8" s="345">
        <v>2</v>
      </c>
    </row>
    <row r="9" spans="1:17" ht="84.6" customHeight="1" x14ac:dyDescent="0.3">
      <c r="B9" s="395" t="s">
        <v>352</v>
      </c>
      <c r="C9">
        <v>3</v>
      </c>
      <c r="D9" s="228" t="s">
        <v>378</v>
      </c>
      <c r="E9" s="722" t="s">
        <v>363</v>
      </c>
      <c r="F9" s="722"/>
      <c r="G9" s="722"/>
      <c r="H9" s="722"/>
      <c r="I9" s="722"/>
      <c r="J9" s="725"/>
      <c r="L9" s="345"/>
    </row>
    <row r="10" spans="1:17" x14ac:dyDescent="0.3">
      <c r="B10" s="393" t="s">
        <v>364</v>
      </c>
      <c r="C10">
        <v>4</v>
      </c>
      <c r="L10" s="345"/>
    </row>
    <row r="11" spans="1:17" x14ac:dyDescent="0.3">
      <c r="B11" s="462"/>
      <c r="L11" s="345"/>
    </row>
    <row r="12" spans="1:17" x14ac:dyDescent="0.3">
      <c r="G12" s="264"/>
      <c r="H12" s="264"/>
      <c r="M12" s="345"/>
    </row>
    <row r="13" spans="1:17" ht="43.2" x14ac:dyDescent="0.3">
      <c r="A13" s="264">
        <f>'Klasik, CNG, M3R, výrobce'!D43</f>
        <v>46023</v>
      </c>
      <c r="B13" s="46" t="s">
        <v>173</v>
      </c>
      <c r="C13" s="226" t="s">
        <v>174</v>
      </c>
      <c r="D13" s="226" t="s">
        <v>175</v>
      </c>
      <c r="E13" s="211" t="s">
        <v>305</v>
      </c>
      <c r="F13" s="370">
        <v>1</v>
      </c>
      <c r="G13" t="s">
        <v>369</v>
      </c>
      <c r="H13" t="s">
        <v>368</v>
      </c>
      <c r="J13" s="1" t="s">
        <v>310</v>
      </c>
      <c r="K13" s="459" t="s">
        <v>320</v>
      </c>
      <c r="L13" s="459" t="s">
        <v>319</v>
      </c>
      <c r="M13" s="459" t="s">
        <v>382</v>
      </c>
      <c r="N13" s="371">
        <v>3</v>
      </c>
      <c r="O13" s="211" t="s">
        <v>327</v>
      </c>
      <c r="P13" s="211" t="s">
        <v>381</v>
      </c>
      <c r="Q13" s="467" t="str">
        <f>CONCATENATE(P14,P15,P16,P17,P18,P19)</f>
        <v>NE</v>
      </c>
    </row>
    <row r="14" spans="1:17" x14ac:dyDescent="0.3">
      <c r="B14" s="46">
        <v>1</v>
      </c>
      <c r="C14" s="135" t="s">
        <v>335</v>
      </c>
      <c r="D14" s="230">
        <f>DAY(EOMONTH(DATE(YEAR($A$13),$B14,1),0))</f>
        <v>31</v>
      </c>
      <c r="E14" s="264">
        <f>'Klasik, CNG, M3R, výrobce'!K60</f>
        <v>46023</v>
      </c>
      <c r="F14" s="264">
        <f>'Klasik, CNG, M3R, výrobce'!L60</f>
        <v>46053</v>
      </c>
      <c r="G14" s="264">
        <f>IF($F$13=B14,E14,"")</f>
        <v>46023</v>
      </c>
      <c r="H14" s="264">
        <f>IF($F$13=B14,F14,"")</f>
        <v>46053</v>
      </c>
      <c r="I14">
        <v>1</v>
      </c>
      <c r="J14" s="346" t="s">
        <v>307</v>
      </c>
      <c r="K14" s="466"/>
      <c r="L14" s="466" t="str">
        <f>IF(H2=1,J14,"")</f>
        <v/>
      </c>
      <c r="M14" s="466" t="str">
        <f>IF(AND(K14="",L14=""),"",IF(L14="",K14,L14))</f>
        <v/>
      </c>
      <c r="N14" t="s">
        <v>319</v>
      </c>
      <c r="O14" t="str">
        <f>IF(AND(I14=$N$13,M14=J14),"OK","nevybrána výše rozmezí nadlimitu")</f>
        <v>nevybrána výše rozmezí nadlimitu</v>
      </c>
      <c r="P14" s="211" t="str">
        <f>IF(I14=$N$13,IF(M14=$J$14,"NE",IF(M14="","","ANO")),"")</f>
        <v/>
      </c>
    </row>
    <row r="15" spans="1:17" x14ac:dyDescent="0.3">
      <c r="B15" s="46">
        <v>2</v>
      </c>
      <c r="C15" s="135" t="s">
        <v>336</v>
      </c>
      <c r="D15" s="230">
        <f t="shared" ref="D15:D25" si="0">DAY(EOMONTH(DATE(YEAR($A$13),$B15,1),0))</f>
        <v>28</v>
      </c>
      <c r="E15" s="264">
        <f>'Klasik, CNG, M3R, výrobce'!K61</f>
        <v>46054</v>
      </c>
      <c r="F15" s="264">
        <f>'Klasik, CNG, M3R, výrobce'!L61</f>
        <v>46081</v>
      </c>
      <c r="G15" s="264" t="str">
        <f t="shared" ref="G15:G25" si="1">IF($F$13=B15,E15,"")</f>
        <v/>
      </c>
      <c r="H15" s="264" t="str">
        <f t="shared" ref="H15:H25" si="2">IF($F$13=B15,F15,"")</f>
        <v/>
      </c>
      <c r="I15">
        <v>2</v>
      </c>
      <c r="J15" s="346" t="s">
        <v>159</v>
      </c>
      <c r="L15" s="466" t="str">
        <f>IF(H2=1,J15,"")</f>
        <v/>
      </c>
      <c r="M15" s="466" t="str">
        <f t="shared" ref="M15:M19" si="3">IF(AND(K15="",L15=""),"",IF(L15="",K15,L15))</f>
        <v/>
      </c>
      <c r="N15" t="s">
        <v>319</v>
      </c>
      <c r="O15" t="str">
        <f t="shared" ref="O15:O19" si="4">IF(AND(I15=$N$13,M15=J15),"OK","nevybrána výše rozmezí nadlimitu")</f>
        <v>nevybrána výše rozmezí nadlimitu</v>
      </c>
      <c r="P15" s="211" t="str">
        <f t="shared" ref="P15:P19" si="5">IF(I15=$N$13,IF(M15=$J$14,"NE",IF(M15="","","ANO")),"")</f>
        <v/>
      </c>
    </row>
    <row r="16" spans="1:17" x14ac:dyDescent="0.3">
      <c r="B16" s="46">
        <v>3</v>
      </c>
      <c r="C16" s="135" t="s">
        <v>337</v>
      </c>
      <c r="D16" s="230">
        <f t="shared" si="0"/>
        <v>31</v>
      </c>
      <c r="E16" s="264">
        <f>'Klasik, CNG, M3R, výrobce'!K62</f>
        <v>46082</v>
      </c>
      <c r="F16" s="264">
        <f>'Klasik, CNG, M3R, výrobce'!L62</f>
        <v>46112</v>
      </c>
      <c r="G16" s="264" t="str">
        <f t="shared" si="1"/>
        <v/>
      </c>
      <c r="H16" s="264" t="str">
        <f t="shared" si="2"/>
        <v/>
      </c>
      <c r="I16">
        <v>3</v>
      </c>
      <c r="J16" s="346" t="s">
        <v>307</v>
      </c>
      <c r="K16" s="466" t="str">
        <f>IF($H$2=1,"",IF($H$2=2,J16,""))</f>
        <v>&lt;= 500 000 MWh</v>
      </c>
      <c r="M16" s="466" t="str">
        <f t="shared" si="3"/>
        <v>&lt;= 500 000 MWh</v>
      </c>
      <c r="N16" t="s">
        <v>320</v>
      </c>
      <c r="O16" t="str">
        <f t="shared" si="4"/>
        <v>OK</v>
      </c>
      <c r="P16" s="211" t="str">
        <f t="shared" si="5"/>
        <v>NE</v>
      </c>
    </row>
    <row r="17" spans="1:16" x14ac:dyDescent="0.3">
      <c r="B17" s="46">
        <v>4</v>
      </c>
      <c r="C17" s="135" t="s">
        <v>338</v>
      </c>
      <c r="D17" s="230">
        <f t="shared" si="0"/>
        <v>30</v>
      </c>
      <c r="E17" s="264">
        <f>'Klasik, CNG, M3R, výrobce'!K63</f>
        <v>46113</v>
      </c>
      <c r="F17" s="264">
        <f>'Klasik, CNG, M3R, výrobce'!L63</f>
        <v>46142</v>
      </c>
      <c r="G17" s="264" t="str">
        <f t="shared" si="1"/>
        <v/>
      </c>
      <c r="H17" s="264" t="str">
        <f t="shared" si="2"/>
        <v/>
      </c>
      <c r="I17">
        <v>4</v>
      </c>
      <c r="J17" s="346" t="s">
        <v>42</v>
      </c>
      <c r="K17" s="466" t="str">
        <f>IF($H$2=1,"",IF($H$2=2,J17,""))</f>
        <v xml:space="preserve">  &gt; 500 000 =&lt; 1 000 000 MWh</v>
      </c>
      <c r="M17" s="466" t="str">
        <f t="shared" si="3"/>
        <v xml:space="preserve">  &gt; 500 000 =&lt; 1 000 000 MWh</v>
      </c>
      <c r="N17" t="s">
        <v>320</v>
      </c>
      <c r="O17" t="str">
        <f t="shared" si="4"/>
        <v>nevybrána výše rozmezí nadlimitu</v>
      </c>
      <c r="P17" s="211" t="str">
        <f t="shared" si="5"/>
        <v/>
      </c>
    </row>
    <row r="18" spans="1:16" x14ac:dyDescent="0.3">
      <c r="B18" s="46">
        <v>5</v>
      </c>
      <c r="C18" s="135" t="s">
        <v>339</v>
      </c>
      <c r="D18" s="230">
        <f t="shared" si="0"/>
        <v>31</v>
      </c>
      <c r="E18" s="264">
        <f>'Klasik, CNG, M3R, výrobce'!K64</f>
        <v>46143</v>
      </c>
      <c r="F18" s="264">
        <f>'Klasik, CNG, M3R, výrobce'!L64</f>
        <v>46173</v>
      </c>
      <c r="G18" s="264" t="str">
        <f t="shared" si="1"/>
        <v/>
      </c>
      <c r="H18" s="264" t="str">
        <f t="shared" si="2"/>
        <v/>
      </c>
      <c r="I18">
        <v>5</v>
      </c>
      <c r="J18" s="346" t="s">
        <v>160</v>
      </c>
      <c r="K18" s="466" t="str">
        <f>IF(H2=1,"",IF(H2=2,J18,""))</f>
        <v xml:space="preserve">  &gt; 1 000 000 =&lt; 1 500 000 MWh</v>
      </c>
      <c r="M18" s="466" t="str">
        <f t="shared" si="3"/>
        <v xml:space="preserve">  &gt; 1 000 000 =&lt; 1 500 000 MWh</v>
      </c>
      <c r="N18" t="s">
        <v>320</v>
      </c>
      <c r="O18" t="str">
        <f t="shared" si="4"/>
        <v>nevybrána výše rozmezí nadlimitu</v>
      </c>
      <c r="P18" s="211" t="str">
        <f t="shared" si="5"/>
        <v/>
      </c>
    </row>
    <row r="19" spans="1:16" x14ac:dyDescent="0.3">
      <c r="B19" s="46">
        <v>6</v>
      </c>
      <c r="C19" s="135" t="s">
        <v>340</v>
      </c>
      <c r="D19" s="230">
        <f t="shared" si="0"/>
        <v>30</v>
      </c>
      <c r="E19" s="264">
        <f>'Klasik, CNG, M3R, výrobce'!K65</f>
        <v>46174</v>
      </c>
      <c r="F19" s="264">
        <f>'Klasik, CNG, M3R, výrobce'!L65</f>
        <v>46203</v>
      </c>
      <c r="G19" s="264" t="str">
        <f t="shared" si="1"/>
        <v/>
      </c>
      <c r="H19" s="264" t="str">
        <f t="shared" si="2"/>
        <v/>
      </c>
      <c r="I19">
        <v>6</v>
      </c>
      <c r="J19" s="346" t="s">
        <v>162</v>
      </c>
      <c r="K19" s="466" t="str">
        <f>IF(H2=1,"",IF(H2=2,J19,""))</f>
        <v xml:space="preserve">  &gt; 1 500 000 MWh</v>
      </c>
      <c r="M19" s="466" t="str">
        <f t="shared" si="3"/>
        <v xml:space="preserve">  &gt; 1 500 000 MWh</v>
      </c>
      <c r="N19" t="s">
        <v>320</v>
      </c>
      <c r="O19" t="str">
        <f t="shared" si="4"/>
        <v>nevybrána výše rozmezí nadlimitu</v>
      </c>
      <c r="P19" s="211" t="str">
        <f t="shared" si="5"/>
        <v/>
      </c>
    </row>
    <row r="20" spans="1:16" x14ac:dyDescent="0.3">
      <c r="B20" s="46">
        <v>7</v>
      </c>
      <c r="C20" s="135" t="s">
        <v>341</v>
      </c>
      <c r="D20" s="230">
        <f t="shared" si="0"/>
        <v>31</v>
      </c>
      <c r="E20" s="264">
        <f>'Klasik, CNG, M3R, výrobce'!K66</f>
        <v>46204</v>
      </c>
      <c r="F20" s="264">
        <f>'Klasik, CNG, M3R, výrobce'!L66</f>
        <v>46234</v>
      </c>
      <c r="G20" s="264" t="str">
        <f t="shared" si="1"/>
        <v/>
      </c>
      <c r="H20" s="264" t="str">
        <f t="shared" si="2"/>
        <v/>
      </c>
      <c r="M20" s="211"/>
    </row>
    <row r="21" spans="1:16" x14ac:dyDescent="0.3">
      <c r="B21" s="46">
        <v>8</v>
      </c>
      <c r="C21" s="135" t="s">
        <v>342</v>
      </c>
      <c r="D21" s="230">
        <f t="shared" si="0"/>
        <v>31</v>
      </c>
      <c r="E21" s="264">
        <f>'Klasik, CNG, M3R, výrobce'!K67</f>
        <v>46235</v>
      </c>
      <c r="F21" s="264">
        <f>'Klasik, CNG, M3R, výrobce'!L67</f>
        <v>46265</v>
      </c>
      <c r="G21" s="264" t="str">
        <f t="shared" si="1"/>
        <v/>
      </c>
      <c r="H21" s="264" t="str">
        <f t="shared" si="2"/>
        <v/>
      </c>
    </row>
    <row r="22" spans="1:16" x14ac:dyDescent="0.3">
      <c r="B22" s="46">
        <v>9</v>
      </c>
      <c r="C22" s="135" t="s">
        <v>343</v>
      </c>
      <c r="D22" s="230">
        <f t="shared" si="0"/>
        <v>30</v>
      </c>
      <c r="E22" s="264">
        <f>'Klasik, CNG, M3R, výrobce'!K68</f>
        <v>46266</v>
      </c>
      <c r="F22" s="264">
        <f>'Klasik, CNG, M3R, výrobce'!L68</f>
        <v>46295</v>
      </c>
      <c r="G22" s="264" t="str">
        <f t="shared" si="1"/>
        <v/>
      </c>
      <c r="H22" s="264" t="str">
        <f t="shared" si="2"/>
        <v/>
      </c>
    </row>
    <row r="23" spans="1:16" x14ac:dyDescent="0.3">
      <c r="B23" s="46">
        <v>10</v>
      </c>
      <c r="C23" s="135" t="s">
        <v>344</v>
      </c>
      <c r="D23" s="230">
        <f t="shared" si="0"/>
        <v>31</v>
      </c>
      <c r="E23" s="264">
        <f>'Klasik, CNG, M3R, výrobce'!K69</f>
        <v>46296</v>
      </c>
      <c r="F23" s="264">
        <f>'Klasik, CNG, M3R, výrobce'!L69</f>
        <v>46326</v>
      </c>
      <c r="G23" s="264" t="str">
        <f t="shared" si="1"/>
        <v/>
      </c>
      <c r="H23" s="264" t="str">
        <f t="shared" si="2"/>
        <v/>
      </c>
    </row>
    <row r="24" spans="1:16" x14ac:dyDescent="0.3">
      <c r="B24" s="46">
        <v>11</v>
      </c>
      <c r="C24" s="135" t="s">
        <v>346</v>
      </c>
      <c r="D24" s="230">
        <f t="shared" si="0"/>
        <v>30</v>
      </c>
      <c r="E24" s="264">
        <f>'Klasik, CNG, M3R, výrobce'!K70</f>
        <v>46327</v>
      </c>
      <c r="F24" s="264">
        <f>'Klasik, CNG, M3R, výrobce'!L70</f>
        <v>46356</v>
      </c>
      <c r="G24" s="264" t="str">
        <f t="shared" si="1"/>
        <v/>
      </c>
      <c r="H24" s="264" t="str">
        <f t="shared" si="2"/>
        <v/>
      </c>
    </row>
    <row r="25" spans="1:16" x14ac:dyDescent="0.3">
      <c r="B25" s="46">
        <v>12</v>
      </c>
      <c r="C25" s="135" t="s">
        <v>345</v>
      </c>
      <c r="D25" s="230">
        <f t="shared" si="0"/>
        <v>31</v>
      </c>
      <c r="E25" s="264">
        <f>'Klasik, CNG, M3R, výrobce'!K71</f>
        <v>46357</v>
      </c>
      <c r="F25" s="264">
        <f>'Klasik, CNG, M3R, výrobce'!L71</f>
        <v>46387</v>
      </c>
      <c r="G25" s="264" t="str">
        <f t="shared" si="1"/>
        <v/>
      </c>
      <c r="H25" s="264" t="str">
        <f t="shared" si="2"/>
        <v/>
      </c>
    </row>
    <row r="26" spans="1:16" x14ac:dyDescent="0.3">
      <c r="B26" s="46"/>
      <c r="C26" s="46"/>
      <c r="D26" s="58">
        <f>SUM(D14:D25)</f>
        <v>365</v>
      </c>
      <c r="E26" t="s">
        <v>369</v>
      </c>
      <c r="F26" t="s">
        <v>368</v>
      </c>
    </row>
    <row r="28" spans="1:16" ht="28.8" x14ac:dyDescent="0.3">
      <c r="A28" s="211" t="s">
        <v>332</v>
      </c>
      <c r="B28" s="211" t="s">
        <v>317</v>
      </c>
      <c r="C28" s="372">
        <v>2</v>
      </c>
    </row>
    <row r="29" spans="1:16" x14ac:dyDescent="0.3">
      <c r="A29">
        <v>1</v>
      </c>
      <c r="B29" t="s">
        <v>122</v>
      </c>
    </row>
    <row r="30" spans="1:16" x14ac:dyDescent="0.3">
      <c r="A30">
        <v>2</v>
      </c>
      <c r="B30" t="s">
        <v>141</v>
      </c>
    </row>
    <row r="32" spans="1:16" x14ac:dyDescent="0.3">
      <c r="A32" s="723" t="s">
        <v>370</v>
      </c>
      <c r="B32" s="723"/>
      <c r="C32" s="723"/>
      <c r="D32" s="723"/>
      <c r="E32" s="723"/>
      <c r="F32" s="723"/>
      <c r="G32" s="723"/>
      <c r="H32" s="723"/>
      <c r="I32" s="723"/>
      <c r="J32" s="723"/>
      <c r="K32" s="723"/>
      <c r="L32" s="723"/>
      <c r="M32" s="723"/>
    </row>
    <row r="33" spans="1:34" x14ac:dyDescent="0.3">
      <c r="B33" s="459" t="s">
        <v>373</v>
      </c>
      <c r="C33" s="1" t="s">
        <v>371</v>
      </c>
      <c r="D33" s="1" t="s">
        <v>372</v>
      </c>
      <c r="E33" s="1" t="s">
        <v>372</v>
      </c>
      <c r="F33" s="1" t="s">
        <v>372</v>
      </c>
      <c r="G33" s="1" t="s">
        <v>372</v>
      </c>
      <c r="H33" s="1" t="s">
        <v>372</v>
      </c>
      <c r="I33" s="1" t="s">
        <v>372</v>
      </c>
      <c r="J33" s="1" t="s">
        <v>372</v>
      </c>
      <c r="K33" s="1" t="s">
        <v>372</v>
      </c>
      <c r="L33" s="1" t="s">
        <v>372</v>
      </c>
      <c r="M33" s="1" t="s">
        <v>372</v>
      </c>
      <c r="N33" s="1" t="s">
        <v>372</v>
      </c>
      <c r="O33" s="1" t="s">
        <v>372</v>
      </c>
      <c r="P33" s="1" t="s">
        <v>372</v>
      </c>
      <c r="Q33" s="1" t="s">
        <v>372</v>
      </c>
      <c r="R33" s="1" t="s">
        <v>372</v>
      </c>
      <c r="S33" s="1" t="s">
        <v>372</v>
      </c>
      <c r="T33" s="1" t="s">
        <v>372</v>
      </c>
      <c r="U33" s="1" t="s">
        <v>372</v>
      </c>
      <c r="V33" s="1" t="s">
        <v>372</v>
      </c>
      <c r="W33" s="1" t="s">
        <v>372</v>
      </c>
      <c r="X33" s="1" t="s">
        <v>372</v>
      </c>
      <c r="Y33" s="1" t="s">
        <v>372</v>
      </c>
      <c r="Z33" s="1" t="s">
        <v>372</v>
      </c>
      <c r="AA33" s="1" t="s">
        <v>372</v>
      </c>
      <c r="AB33" s="1" t="s">
        <v>372</v>
      </c>
      <c r="AC33" s="1" t="s">
        <v>372</v>
      </c>
      <c r="AD33" s="1" t="s">
        <v>372</v>
      </c>
      <c r="AE33" s="1" t="s">
        <v>372</v>
      </c>
      <c r="AF33" s="1" t="s">
        <v>372</v>
      </c>
      <c r="AG33" s="1" t="s">
        <v>372</v>
      </c>
      <c r="AH33" s="1" t="s">
        <v>372</v>
      </c>
    </row>
    <row r="34" spans="1:34" x14ac:dyDescent="0.3">
      <c r="A34">
        <v>1</v>
      </c>
      <c r="B34" s="264">
        <f>VLOOKUP($F$13,$C$34:$AH$45,2,FALSE)</f>
        <v>46023</v>
      </c>
      <c r="C34" s="1">
        <v>1</v>
      </c>
      <c r="D34" s="264">
        <f>'Klasik, CNG, M3R, výrobce'!D43</f>
        <v>46023</v>
      </c>
      <c r="E34" s="264">
        <f>D34+1</f>
        <v>46024</v>
      </c>
      <c r="F34" s="264">
        <f t="shared" ref="F34:AH34" si="6">E34+1</f>
        <v>46025</v>
      </c>
      <c r="G34" s="264">
        <f t="shared" si="6"/>
        <v>46026</v>
      </c>
      <c r="H34" s="264">
        <f t="shared" si="6"/>
        <v>46027</v>
      </c>
      <c r="I34" s="264">
        <f t="shared" si="6"/>
        <v>46028</v>
      </c>
      <c r="J34" s="264">
        <f t="shared" si="6"/>
        <v>46029</v>
      </c>
      <c r="K34" s="264">
        <f t="shared" si="6"/>
        <v>46030</v>
      </c>
      <c r="L34" s="264">
        <f t="shared" si="6"/>
        <v>46031</v>
      </c>
      <c r="M34" s="264">
        <f t="shared" si="6"/>
        <v>46032</v>
      </c>
      <c r="N34" s="264">
        <f t="shared" si="6"/>
        <v>46033</v>
      </c>
      <c r="O34" s="264">
        <f t="shared" si="6"/>
        <v>46034</v>
      </c>
      <c r="P34" s="264">
        <f t="shared" si="6"/>
        <v>46035</v>
      </c>
      <c r="Q34" s="264">
        <f t="shared" si="6"/>
        <v>46036</v>
      </c>
      <c r="R34" s="264">
        <f t="shared" si="6"/>
        <v>46037</v>
      </c>
      <c r="S34" s="264">
        <f t="shared" si="6"/>
        <v>46038</v>
      </c>
      <c r="T34" s="264">
        <f t="shared" si="6"/>
        <v>46039</v>
      </c>
      <c r="U34" s="264">
        <f t="shared" si="6"/>
        <v>46040</v>
      </c>
      <c r="V34" s="264">
        <f t="shared" si="6"/>
        <v>46041</v>
      </c>
      <c r="W34" s="264">
        <f t="shared" si="6"/>
        <v>46042</v>
      </c>
      <c r="X34" s="264">
        <f t="shared" si="6"/>
        <v>46043</v>
      </c>
      <c r="Y34" s="264">
        <f t="shared" si="6"/>
        <v>46044</v>
      </c>
      <c r="Z34" s="264">
        <f t="shared" si="6"/>
        <v>46045</v>
      </c>
      <c r="AA34" s="264">
        <f t="shared" si="6"/>
        <v>46046</v>
      </c>
      <c r="AB34" s="264">
        <f t="shared" si="6"/>
        <v>46047</v>
      </c>
      <c r="AC34" s="264">
        <f t="shared" si="6"/>
        <v>46048</v>
      </c>
      <c r="AD34" s="264">
        <f t="shared" si="6"/>
        <v>46049</v>
      </c>
      <c r="AE34" s="264">
        <f t="shared" si="6"/>
        <v>46050</v>
      </c>
      <c r="AF34" s="264">
        <f t="shared" si="6"/>
        <v>46051</v>
      </c>
      <c r="AG34" s="264">
        <f t="shared" si="6"/>
        <v>46052</v>
      </c>
      <c r="AH34" s="264">
        <f t="shared" si="6"/>
        <v>46053</v>
      </c>
    </row>
    <row r="35" spans="1:34" x14ac:dyDescent="0.3">
      <c r="A35">
        <v>2</v>
      </c>
      <c r="B35" s="264">
        <f>VLOOKUP($F$13,$C$34:$AH$45,3,FALSE)</f>
        <v>46024</v>
      </c>
      <c r="C35" s="1">
        <v>2</v>
      </c>
      <c r="D35" s="264">
        <f>D34+D14</f>
        <v>46054</v>
      </c>
      <c r="E35" s="264">
        <f>D35+1</f>
        <v>46055</v>
      </c>
      <c r="F35" s="264">
        <f t="shared" ref="F35:AE45" si="7">E35+1</f>
        <v>46056</v>
      </c>
      <c r="G35" s="264">
        <f t="shared" si="7"/>
        <v>46057</v>
      </c>
      <c r="H35" s="264">
        <f t="shared" si="7"/>
        <v>46058</v>
      </c>
      <c r="I35" s="264">
        <f t="shared" si="7"/>
        <v>46059</v>
      </c>
      <c r="J35" s="264">
        <f t="shared" si="7"/>
        <v>46060</v>
      </c>
      <c r="K35" s="264">
        <f t="shared" si="7"/>
        <v>46061</v>
      </c>
      <c r="L35" s="264">
        <f t="shared" si="7"/>
        <v>46062</v>
      </c>
      <c r="M35" s="264">
        <f t="shared" si="7"/>
        <v>46063</v>
      </c>
      <c r="N35" s="264">
        <f t="shared" si="7"/>
        <v>46064</v>
      </c>
      <c r="O35" s="264">
        <f t="shared" si="7"/>
        <v>46065</v>
      </c>
      <c r="P35" s="264">
        <f t="shared" si="7"/>
        <v>46066</v>
      </c>
      <c r="Q35" s="264">
        <f t="shared" si="7"/>
        <v>46067</v>
      </c>
      <c r="R35" s="264">
        <f t="shared" si="7"/>
        <v>46068</v>
      </c>
      <c r="S35" s="264">
        <f t="shared" si="7"/>
        <v>46069</v>
      </c>
      <c r="T35" s="264">
        <f t="shared" si="7"/>
        <v>46070</v>
      </c>
      <c r="U35" s="264">
        <f t="shared" si="7"/>
        <v>46071</v>
      </c>
      <c r="V35" s="264">
        <f t="shared" si="7"/>
        <v>46072</v>
      </c>
      <c r="W35" s="264">
        <f t="shared" si="7"/>
        <v>46073</v>
      </c>
      <c r="X35" s="264">
        <f t="shared" si="7"/>
        <v>46074</v>
      </c>
      <c r="Y35" s="264">
        <f t="shared" si="7"/>
        <v>46075</v>
      </c>
      <c r="Z35" s="264">
        <f t="shared" si="7"/>
        <v>46076</v>
      </c>
      <c r="AA35" s="264">
        <f t="shared" si="7"/>
        <v>46077</v>
      </c>
      <c r="AB35" s="264">
        <f t="shared" si="7"/>
        <v>46078</v>
      </c>
      <c r="AC35" s="264">
        <f t="shared" si="7"/>
        <v>46079</v>
      </c>
      <c r="AD35" s="264">
        <f t="shared" si="7"/>
        <v>46080</v>
      </c>
      <c r="AE35" s="264">
        <f t="shared" si="7"/>
        <v>46081</v>
      </c>
      <c r="AF35" s="264" t="str">
        <f>IF($D$15=29,AE35+1,"")</f>
        <v/>
      </c>
      <c r="AG35" s="264" t="s">
        <v>1</v>
      </c>
      <c r="AH35" s="264" t="s">
        <v>1</v>
      </c>
    </row>
    <row r="36" spans="1:34" x14ac:dyDescent="0.3">
      <c r="A36">
        <v>3</v>
      </c>
      <c r="B36" s="264">
        <f>VLOOKUP($F$13,$C$34:$AH$45,4,FALSE)</f>
        <v>46025</v>
      </c>
      <c r="C36" s="1">
        <v>3</v>
      </c>
      <c r="D36" s="264">
        <f t="shared" ref="D36:D45" si="8">D35+D15</f>
        <v>46082</v>
      </c>
      <c r="E36" s="264">
        <f t="shared" ref="E36:T45" si="9">D36+1</f>
        <v>46083</v>
      </c>
      <c r="F36" s="264">
        <f t="shared" si="9"/>
        <v>46084</v>
      </c>
      <c r="G36" s="264">
        <f t="shared" si="9"/>
        <v>46085</v>
      </c>
      <c r="H36" s="264">
        <f t="shared" si="9"/>
        <v>46086</v>
      </c>
      <c r="I36" s="264">
        <f t="shared" si="9"/>
        <v>46087</v>
      </c>
      <c r="J36" s="264">
        <f t="shared" si="9"/>
        <v>46088</v>
      </c>
      <c r="K36" s="264">
        <f t="shared" si="9"/>
        <v>46089</v>
      </c>
      <c r="L36" s="264">
        <f t="shared" si="9"/>
        <v>46090</v>
      </c>
      <c r="M36" s="264">
        <f t="shared" si="9"/>
        <v>46091</v>
      </c>
      <c r="N36" s="264">
        <f t="shared" si="9"/>
        <v>46092</v>
      </c>
      <c r="O36" s="264">
        <f t="shared" si="9"/>
        <v>46093</v>
      </c>
      <c r="P36" s="264">
        <f t="shared" si="9"/>
        <v>46094</v>
      </c>
      <c r="Q36" s="264">
        <f t="shared" si="9"/>
        <v>46095</v>
      </c>
      <c r="R36" s="264">
        <f t="shared" si="9"/>
        <v>46096</v>
      </c>
      <c r="S36" s="264">
        <f t="shared" si="9"/>
        <v>46097</v>
      </c>
      <c r="T36" s="264">
        <f t="shared" si="9"/>
        <v>46098</v>
      </c>
      <c r="U36" s="264">
        <f t="shared" si="7"/>
        <v>46099</v>
      </c>
      <c r="V36" s="264">
        <f t="shared" si="7"/>
        <v>46100</v>
      </c>
      <c r="W36" s="264">
        <f t="shared" si="7"/>
        <v>46101</v>
      </c>
      <c r="X36" s="264">
        <f t="shared" si="7"/>
        <v>46102</v>
      </c>
      <c r="Y36" s="264">
        <f t="shared" si="7"/>
        <v>46103</v>
      </c>
      <c r="Z36" s="264">
        <f t="shared" si="7"/>
        <v>46104</v>
      </c>
      <c r="AA36" s="264">
        <f t="shared" si="7"/>
        <v>46105</v>
      </c>
      <c r="AB36" s="264">
        <f t="shared" si="7"/>
        <v>46106</v>
      </c>
      <c r="AC36" s="264">
        <f t="shared" si="7"/>
        <v>46107</v>
      </c>
      <c r="AD36" s="264">
        <f t="shared" si="7"/>
        <v>46108</v>
      </c>
      <c r="AE36" s="264">
        <f t="shared" si="7"/>
        <v>46109</v>
      </c>
      <c r="AF36" s="264">
        <f t="shared" ref="AF36:AH45" si="10">AE36+1</f>
        <v>46110</v>
      </c>
      <c r="AG36" s="264">
        <f t="shared" si="10"/>
        <v>46111</v>
      </c>
      <c r="AH36" s="264">
        <f t="shared" si="10"/>
        <v>46112</v>
      </c>
    </row>
    <row r="37" spans="1:34" x14ac:dyDescent="0.3">
      <c r="A37">
        <v>4</v>
      </c>
      <c r="B37" s="264">
        <f>VLOOKUP($F$13,$C$34:$AH$45,5,FALSE)</f>
        <v>46026</v>
      </c>
      <c r="C37" s="1">
        <v>4</v>
      </c>
      <c r="D37" s="264">
        <f t="shared" si="8"/>
        <v>46113</v>
      </c>
      <c r="E37" s="264">
        <f t="shared" si="9"/>
        <v>46114</v>
      </c>
      <c r="F37" s="264">
        <f t="shared" si="9"/>
        <v>46115</v>
      </c>
      <c r="G37" s="264">
        <f t="shared" si="9"/>
        <v>46116</v>
      </c>
      <c r="H37" s="264">
        <f t="shared" si="9"/>
        <v>46117</v>
      </c>
      <c r="I37" s="264">
        <f t="shared" si="9"/>
        <v>46118</v>
      </c>
      <c r="J37" s="264">
        <f t="shared" si="9"/>
        <v>46119</v>
      </c>
      <c r="K37" s="264">
        <f t="shared" si="9"/>
        <v>46120</v>
      </c>
      <c r="L37" s="264">
        <f t="shared" si="9"/>
        <v>46121</v>
      </c>
      <c r="M37" s="264">
        <f t="shared" si="9"/>
        <v>46122</v>
      </c>
      <c r="N37" s="264">
        <f t="shared" si="9"/>
        <v>46123</v>
      </c>
      <c r="O37" s="264">
        <f t="shared" si="9"/>
        <v>46124</v>
      </c>
      <c r="P37" s="264">
        <f t="shared" si="9"/>
        <v>46125</v>
      </c>
      <c r="Q37" s="264">
        <f t="shared" si="9"/>
        <v>46126</v>
      </c>
      <c r="R37" s="264">
        <f t="shared" si="9"/>
        <v>46127</v>
      </c>
      <c r="S37" s="264">
        <f t="shared" si="9"/>
        <v>46128</v>
      </c>
      <c r="T37" s="264">
        <f t="shared" si="9"/>
        <v>46129</v>
      </c>
      <c r="U37" s="264">
        <f t="shared" si="7"/>
        <v>46130</v>
      </c>
      <c r="V37" s="264">
        <f t="shared" si="7"/>
        <v>46131</v>
      </c>
      <c r="W37" s="264">
        <f t="shared" si="7"/>
        <v>46132</v>
      </c>
      <c r="X37" s="264">
        <f t="shared" si="7"/>
        <v>46133</v>
      </c>
      <c r="Y37" s="264">
        <f t="shared" si="7"/>
        <v>46134</v>
      </c>
      <c r="Z37" s="264">
        <f t="shared" si="7"/>
        <v>46135</v>
      </c>
      <c r="AA37" s="264">
        <f t="shared" si="7"/>
        <v>46136</v>
      </c>
      <c r="AB37" s="264">
        <f t="shared" si="7"/>
        <v>46137</v>
      </c>
      <c r="AC37" s="264">
        <f t="shared" si="7"/>
        <v>46138</v>
      </c>
      <c r="AD37" s="264">
        <f t="shared" si="7"/>
        <v>46139</v>
      </c>
      <c r="AE37" s="264">
        <f t="shared" si="7"/>
        <v>46140</v>
      </c>
      <c r="AF37" s="264">
        <f t="shared" si="10"/>
        <v>46141</v>
      </c>
      <c r="AG37" s="264">
        <f t="shared" si="10"/>
        <v>46142</v>
      </c>
      <c r="AH37" s="264" t="s">
        <v>1</v>
      </c>
    </row>
    <row r="38" spans="1:34" x14ac:dyDescent="0.3">
      <c r="A38">
        <v>5</v>
      </c>
      <c r="B38" s="264">
        <f>VLOOKUP($F$13,$C$34:$AH$45,6,FALSE)</f>
        <v>46027</v>
      </c>
      <c r="C38" s="1">
        <v>5</v>
      </c>
      <c r="D38" s="264">
        <f t="shared" si="8"/>
        <v>46143</v>
      </c>
      <c r="E38" s="264">
        <f t="shared" si="9"/>
        <v>46144</v>
      </c>
      <c r="F38" s="264">
        <f t="shared" si="9"/>
        <v>46145</v>
      </c>
      <c r="G38" s="264">
        <f t="shared" si="9"/>
        <v>46146</v>
      </c>
      <c r="H38" s="264">
        <f t="shared" si="9"/>
        <v>46147</v>
      </c>
      <c r="I38" s="264">
        <f t="shared" si="9"/>
        <v>46148</v>
      </c>
      <c r="J38" s="264">
        <f t="shared" si="9"/>
        <v>46149</v>
      </c>
      <c r="K38" s="264">
        <f t="shared" si="9"/>
        <v>46150</v>
      </c>
      <c r="L38" s="264">
        <f t="shared" si="9"/>
        <v>46151</v>
      </c>
      <c r="M38" s="264">
        <f t="shared" si="9"/>
        <v>46152</v>
      </c>
      <c r="N38" s="264">
        <f t="shared" si="9"/>
        <v>46153</v>
      </c>
      <c r="O38" s="264">
        <f t="shared" si="9"/>
        <v>46154</v>
      </c>
      <c r="P38" s="264">
        <f t="shared" si="9"/>
        <v>46155</v>
      </c>
      <c r="Q38" s="264">
        <f t="shared" si="9"/>
        <v>46156</v>
      </c>
      <c r="R38" s="264">
        <f t="shared" si="9"/>
        <v>46157</v>
      </c>
      <c r="S38" s="264">
        <f t="shared" si="9"/>
        <v>46158</v>
      </c>
      <c r="T38" s="264">
        <f t="shared" si="9"/>
        <v>46159</v>
      </c>
      <c r="U38" s="264">
        <f t="shared" si="7"/>
        <v>46160</v>
      </c>
      <c r="V38" s="264">
        <f t="shared" si="7"/>
        <v>46161</v>
      </c>
      <c r="W38" s="264">
        <f t="shared" si="7"/>
        <v>46162</v>
      </c>
      <c r="X38" s="264">
        <f t="shared" si="7"/>
        <v>46163</v>
      </c>
      <c r="Y38" s="264">
        <f t="shared" si="7"/>
        <v>46164</v>
      </c>
      <c r="Z38" s="264">
        <f t="shared" si="7"/>
        <v>46165</v>
      </c>
      <c r="AA38" s="264">
        <f t="shared" si="7"/>
        <v>46166</v>
      </c>
      <c r="AB38" s="264">
        <f t="shared" si="7"/>
        <v>46167</v>
      </c>
      <c r="AC38" s="264">
        <f t="shared" si="7"/>
        <v>46168</v>
      </c>
      <c r="AD38" s="264">
        <f t="shared" si="7"/>
        <v>46169</v>
      </c>
      <c r="AE38" s="264">
        <f t="shared" si="7"/>
        <v>46170</v>
      </c>
      <c r="AF38" s="264">
        <f t="shared" si="10"/>
        <v>46171</v>
      </c>
      <c r="AG38" s="264">
        <f t="shared" si="10"/>
        <v>46172</v>
      </c>
      <c r="AH38" s="264">
        <f t="shared" si="10"/>
        <v>46173</v>
      </c>
    </row>
    <row r="39" spans="1:34" x14ac:dyDescent="0.3">
      <c r="A39">
        <v>6</v>
      </c>
      <c r="B39" s="264">
        <f>VLOOKUP($F$13,$C$34:$AH$45,7,FALSE)</f>
        <v>46028</v>
      </c>
      <c r="C39" s="1">
        <v>6</v>
      </c>
      <c r="D39" s="264">
        <f t="shared" si="8"/>
        <v>46174</v>
      </c>
      <c r="E39" s="264">
        <f t="shared" si="9"/>
        <v>46175</v>
      </c>
      <c r="F39" s="264">
        <f t="shared" si="9"/>
        <v>46176</v>
      </c>
      <c r="G39" s="264">
        <f t="shared" si="9"/>
        <v>46177</v>
      </c>
      <c r="H39" s="264">
        <f t="shared" si="9"/>
        <v>46178</v>
      </c>
      <c r="I39" s="264">
        <f t="shared" si="9"/>
        <v>46179</v>
      </c>
      <c r="J39" s="264">
        <f t="shared" si="9"/>
        <v>46180</v>
      </c>
      <c r="K39" s="264">
        <f t="shared" si="9"/>
        <v>46181</v>
      </c>
      <c r="L39" s="264">
        <f t="shared" si="9"/>
        <v>46182</v>
      </c>
      <c r="M39" s="264">
        <f t="shared" si="9"/>
        <v>46183</v>
      </c>
      <c r="N39" s="264">
        <f t="shared" si="9"/>
        <v>46184</v>
      </c>
      <c r="O39" s="264">
        <f t="shared" si="9"/>
        <v>46185</v>
      </c>
      <c r="P39" s="264">
        <f t="shared" si="9"/>
        <v>46186</v>
      </c>
      <c r="Q39" s="264">
        <f t="shared" si="9"/>
        <v>46187</v>
      </c>
      <c r="R39" s="264">
        <f t="shared" si="9"/>
        <v>46188</v>
      </c>
      <c r="S39" s="264">
        <f t="shared" si="9"/>
        <v>46189</v>
      </c>
      <c r="T39" s="264">
        <f t="shared" si="9"/>
        <v>46190</v>
      </c>
      <c r="U39" s="264">
        <f t="shared" si="7"/>
        <v>46191</v>
      </c>
      <c r="V39" s="264">
        <f t="shared" si="7"/>
        <v>46192</v>
      </c>
      <c r="W39" s="264">
        <f t="shared" si="7"/>
        <v>46193</v>
      </c>
      <c r="X39" s="264">
        <f t="shared" si="7"/>
        <v>46194</v>
      </c>
      <c r="Y39" s="264">
        <f t="shared" si="7"/>
        <v>46195</v>
      </c>
      <c r="Z39" s="264">
        <f t="shared" si="7"/>
        <v>46196</v>
      </c>
      <c r="AA39" s="264">
        <f t="shared" si="7"/>
        <v>46197</v>
      </c>
      <c r="AB39" s="264">
        <f t="shared" si="7"/>
        <v>46198</v>
      </c>
      <c r="AC39" s="264">
        <f t="shared" si="7"/>
        <v>46199</v>
      </c>
      <c r="AD39" s="264">
        <f t="shared" si="7"/>
        <v>46200</v>
      </c>
      <c r="AE39" s="264">
        <f t="shared" si="7"/>
        <v>46201</v>
      </c>
      <c r="AF39" s="264">
        <f t="shared" si="10"/>
        <v>46202</v>
      </c>
      <c r="AG39" s="264">
        <f t="shared" si="10"/>
        <v>46203</v>
      </c>
      <c r="AH39" s="264" t="s">
        <v>1</v>
      </c>
    </row>
    <row r="40" spans="1:34" x14ac:dyDescent="0.3">
      <c r="A40">
        <v>7</v>
      </c>
      <c r="B40" s="264">
        <f>VLOOKUP($F$13,$C$34:$AH$45,8,FALSE)</f>
        <v>46029</v>
      </c>
      <c r="C40" s="1">
        <v>7</v>
      </c>
      <c r="D40" s="264">
        <f t="shared" si="8"/>
        <v>46204</v>
      </c>
      <c r="E40" s="264">
        <f t="shared" si="9"/>
        <v>46205</v>
      </c>
      <c r="F40" s="264">
        <f t="shared" si="9"/>
        <v>46206</v>
      </c>
      <c r="G40" s="264">
        <f t="shared" si="9"/>
        <v>46207</v>
      </c>
      <c r="H40" s="264">
        <f t="shared" si="9"/>
        <v>46208</v>
      </c>
      <c r="I40" s="264">
        <f t="shared" si="9"/>
        <v>46209</v>
      </c>
      <c r="J40" s="264">
        <f t="shared" si="9"/>
        <v>46210</v>
      </c>
      <c r="K40" s="264">
        <f t="shared" si="9"/>
        <v>46211</v>
      </c>
      <c r="L40" s="264">
        <f t="shared" si="9"/>
        <v>46212</v>
      </c>
      <c r="M40" s="264">
        <f t="shared" si="9"/>
        <v>46213</v>
      </c>
      <c r="N40" s="264">
        <f t="shared" si="9"/>
        <v>46214</v>
      </c>
      <c r="O40" s="264">
        <f t="shared" si="9"/>
        <v>46215</v>
      </c>
      <c r="P40" s="264">
        <f t="shared" si="9"/>
        <v>46216</v>
      </c>
      <c r="Q40" s="264">
        <f t="shared" si="9"/>
        <v>46217</v>
      </c>
      <c r="R40" s="264">
        <f t="shared" si="9"/>
        <v>46218</v>
      </c>
      <c r="S40" s="264">
        <f t="shared" si="9"/>
        <v>46219</v>
      </c>
      <c r="T40" s="264">
        <f t="shared" si="9"/>
        <v>46220</v>
      </c>
      <c r="U40" s="264">
        <f t="shared" si="7"/>
        <v>46221</v>
      </c>
      <c r="V40" s="264">
        <f t="shared" si="7"/>
        <v>46222</v>
      </c>
      <c r="W40" s="264">
        <f t="shared" si="7"/>
        <v>46223</v>
      </c>
      <c r="X40" s="264">
        <f t="shared" si="7"/>
        <v>46224</v>
      </c>
      <c r="Y40" s="264">
        <f t="shared" si="7"/>
        <v>46225</v>
      </c>
      <c r="Z40" s="264">
        <f t="shared" si="7"/>
        <v>46226</v>
      </c>
      <c r="AA40" s="264">
        <f t="shared" si="7"/>
        <v>46227</v>
      </c>
      <c r="AB40" s="264">
        <f t="shared" si="7"/>
        <v>46228</v>
      </c>
      <c r="AC40" s="264">
        <f t="shared" si="7"/>
        <v>46229</v>
      </c>
      <c r="AD40" s="264">
        <f t="shared" si="7"/>
        <v>46230</v>
      </c>
      <c r="AE40" s="264">
        <f t="shared" si="7"/>
        <v>46231</v>
      </c>
      <c r="AF40" s="264">
        <f t="shared" si="10"/>
        <v>46232</v>
      </c>
      <c r="AG40" s="264">
        <f t="shared" si="10"/>
        <v>46233</v>
      </c>
      <c r="AH40" s="264">
        <f t="shared" si="10"/>
        <v>46234</v>
      </c>
    </row>
    <row r="41" spans="1:34" x14ac:dyDescent="0.3">
      <c r="A41">
        <v>8</v>
      </c>
      <c r="B41" s="264">
        <f>VLOOKUP($F$13,$C$34:$AH$45,9,FALSE)</f>
        <v>46030</v>
      </c>
      <c r="C41" s="1">
        <v>8</v>
      </c>
      <c r="D41" s="264">
        <f t="shared" si="8"/>
        <v>46235</v>
      </c>
      <c r="E41" s="264">
        <f t="shared" si="9"/>
        <v>46236</v>
      </c>
      <c r="F41" s="264">
        <f t="shared" si="9"/>
        <v>46237</v>
      </c>
      <c r="G41" s="264">
        <f t="shared" si="9"/>
        <v>46238</v>
      </c>
      <c r="H41" s="264">
        <f t="shared" si="9"/>
        <v>46239</v>
      </c>
      <c r="I41" s="264">
        <f t="shared" si="9"/>
        <v>46240</v>
      </c>
      <c r="J41" s="264">
        <f t="shared" si="9"/>
        <v>46241</v>
      </c>
      <c r="K41" s="264">
        <f t="shared" si="9"/>
        <v>46242</v>
      </c>
      <c r="L41" s="264">
        <f t="shared" si="9"/>
        <v>46243</v>
      </c>
      <c r="M41" s="264">
        <f t="shared" si="9"/>
        <v>46244</v>
      </c>
      <c r="N41" s="264">
        <f t="shared" si="9"/>
        <v>46245</v>
      </c>
      <c r="O41" s="264">
        <f t="shared" si="9"/>
        <v>46246</v>
      </c>
      <c r="P41" s="264">
        <f t="shared" si="9"/>
        <v>46247</v>
      </c>
      <c r="Q41" s="264">
        <f t="shared" si="9"/>
        <v>46248</v>
      </c>
      <c r="R41" s="264">
        <f t="shared" si="9"/>
        <v>46249</v>
      </c>
      <c r="S41" s="264">
        <f t="shared" si="9"/>
        <v>46250</v>
      </c>
      <c r="T41" s="264">
        <f t="shared" si="9"/>
        <v>46251</v>
      </c>
      <c r="U41" s="264">
        <f t="shared" si="7"/>
        <v>46252</v>
      </c>
      <c r="V41" s="264">
        <f t="shared" si="7"/>
        <v>46253</v>
      </c>
      <c r="W41" s="264">
        <f t="shared" si="7"/>
        <v>46254</v>
      </c>
      <c r="X41" s="264">
        <f t="shared" si="7"/>
        <v>46255</v>
      </c>
      <c r="Y41" s="264">
        <f t="shared" si="7"/>
        <v>46256</v>
      </c>
      <c r="Z41" s="264">
        <f t="shared" si="7"/>
        <v>46257</v>
      </c>
      <c r="AA41" s="264">
        <f t="shared" si="7"/>
        <v>46258</v>
      </c>
      <c r="AB41" s="264">
        <f t="shared" si="7"/>
        <v>46259</v>
      </c>
      <c r="AC41" s="264">
        <f t="shared" si="7"/>
        <v>46260</v>
      </c>
      <c r="AD41" s="264">
        <f t="shared" si="7"/>
        <v>46261</v>
      </c>
      <c r="AE41" s="264">
        <f t="shared" si="7"/>
        <v>46262</v>
      </c>
      <c r="AF41" s="264">
        <f t="shared" si="10"/>
        <v>46263</v>
      </c>
      <c r="AG41" s="264">
        <f t="shared" si="10"/>
        <v>46264</v>
      </c>
      <c r="AH41" s="264">
        <f t="shared" si="10"/>
        <v>46265</v>
      </c>
    </row>
    <row r="42" spans="1:34" x14ac:dyDescent="0.3">
      <c r="A42">
        <v>9</v>
      </c>
      <c r="B42" s="264">
        <f>VLOOKUP($F$13,$C$34:$AH$45,10,FALSE)</f>
        <v>46031</v>
      </c>
      <c r="C42" s="1">
        <v>9</v>
      </c>
      <c r="D42" s="264">
        <f t="shared" si="8"/>
        <v>46266</v>
      </c>
      <c r="E42" s="264">
        <f t="shared" si="9"/>
        <v>46267</v>
      </c>
      <c r="F42" s="264">
        <f t="shared" si="9"/>
        <v>46268</v>
      </c>
      <c r="G42" s="264">
        <f t="shared" si="9"/>
        <v>46269</v>
      </c>
      <c r="H42" s="264">
        <f t="shared" si="9"/>
        <v>46270</v>
      </c>
      <c r="I42" s="264">
        <f t="shared" si="9"/>
        <v>46271</v>
      </c>
      <c r="J42" s="264">
        <f t="shared" si="9"/>
        <v>46272</v>
      </c>
      <c r="K42" s="264">
        <f t="shared" si="9"/>
        <v>46273</v>
      </c>
      <c r="L42" s="264">
        <f t="shared" si="9"/>
        <v>46274</v>
      </c>
      <c r="M42" s="264">
        <f t="shared" si="9"/>
        <v>46275</v>
      </c>
      <c r="N42" s="264">
        <f t="shared" si="9"/>
        <v>46276</v>
      </c>
      <c r="O42" s="264">
        <f t="shared" si="9"/>
        <v>46277</v>
      </c>
      <c r="P42" s="264">
        <f t="shared" si="9"/>
        <v>46278</v>
      </c>
      <c r="Q42" s="264">
        <f t="shared" si="9"/>
        <v>46279</v>
      </c>
      <c r="R42" s="264">
        <f t="shared" si="9"/>
        <v>46280</v>
      </c>
      <c r="S42" s="264">
        <f t="shared" si="9"/>
        <v>46281</v>
      </c>
      <c r="T42" s="264">
        <f t="shared" si="9"/>
        <v>46282</v>
      </c>
      <c r="U42" s="264">
        <f t="shared" si="7"/>
        <v>46283</v>
      </c>
      <c r="V42" s="264">
        <f t="shared" si="7"/>
        <v>46284</v>
      </c>
      <c r="W42" s="264">
        <f t="shared" si="7"/>
        <v>46285</v>
      </c>
      <c r="X42" s="264">
        <f t="shared" si="7"/>
        <v>46286</v>
      </c>
      <c r="Y42" s="264">
        <f t="shared" si="7"/>
        <v>46287</v>
      </c>
      <c r="Z42" s="264">
        <f t="shared" si="7"/>
        <v>46288</v>
      </c>
      <c r="AA42" s="264">
        <f t="shared" si="7"/>
        <v>46289</v>
      </c>
      <c r="AB42" s="264">
        <f t="shared" si="7"/>
        <v>46290</v>
      </c>
      <c r="AC42" s="264">
        <f t="shared" si="7"/>
        <v>46291</v>
      </c>
      <c r="AD42" s="264">
        <f t="shared" si="7"/>
        <v>46292</v>
      </c>
      <c r="AE42" s="264">
        <f t="shared" si="7"/>
        <v>46293</v>
      </c>
      <c r="AF42" s="264">
        <f t="shared" si="10"/>
        <v>46294</v>
      </c>
      <c r="AG42" s="264">
        <f t="shared" si="10"/>
        <v>46295</v>
      </c>
      <c r="AH42" s="264" t="s">
        <v>1</v>
      </c>
    </row>
    <row r="43" spans="1:34" x14ac:dyDescent="0.3">
      <c r="A43">
        <v>10</v>
      </c>
      <c r="B43" s="264">
        <f>VLOOKUP($F$13,$C$34:$AH$45,11,FALSE)</f>
        <v>46032</v>
      </c>
      <c r="C43" s="1">
        <v>10</v>
      </c>
      <c r="D43" s="264">
        <f t="shared" si="8"/>
        <v>46296</v>
      </c>
      <c r="E43" s="264">
        <f t="shared" si="9"/>
        <v>46297</v>
      </c>
      <c r="F43" s="264">
        <f t="shared" si="9"/>
        <v>46298</v>
      </c>
      <c r="G43" s="264">
        <f t="shared" si="9"/>
        <v>46299</v>
      </c>
      <c r="H43" s="264">
        <f t="shared" si="9"/>
        <v>46300</v>
      </c>
      <c r="I43" s="264">
        <f t="shared" si="9"/>
        <v>46301</v>
      </c>
      <c r="J43" s="264">
        <f t="shared" si="9"/>
        <v>46302</v>
      </c>
      <c r="K43" s="264">
        <f t="shared" si="9"/>
        <v>46303</v>
      </c>
      <c r="L43" s="264">
        <f t="shared" si="9"/>
        <v>46304</v>
      </c>
      <c r="M43" s="264">
        <f t="shared" si="9"/>
        <v>46305</v>
      </c>
      <c r="N43" s="264">
        <f t="shared" si="9"/>
        <v>46306</v>
      </c>
      <c r="O43" s="264">
        <f t="shared" si="9"/>
        <v>46307</v>
      </c>
      <c r="P43" s="264">
        <f t="shared" si="9"/>
        <v>46308</v>
      </c>
      <c r="Q43" s="264">
        <f t="shared" si="9"/>
        <v>46309</v>
      </c>
      <c r="R43" s="264">
        <f t="shared" si="9"/>
        <v>46310</v>
      </c>
      <c r="S43" s="264">
        <f t="shared" si="9"/>
        <v>46311</v>
      </c>
      <c r="T43" s="264">
        <f t="shared" si="9"/>
        <v>46312</v>
      </c>
      <c r="U43" s="264">
        <f t="shared" si="7"/>
        <v>46313</v>
      </c>
      <c r="V43" s="264">
        <f t="shared" si="7"/>
        <v>46314</v>
      </c>
      <c r="W43" s="264">
        <f t="shared" si="7"/>
        <v>46315</v>
      </c>
      <c r="X43" s="264">
        <f t="shared" si="7"/>
        <v>46316</v>
      </c>
      <c r="Y43" s="264">
        <f t="shared" si="7"/>
        <v>46317</v>
      </c>
      <c r="Z43" s="264">
        <f t="shared" si="7"/>
        <v>46318</v>
      </c>
      <c r="AA43" s="264">
        <f t="shared" si="7"/>
        <v>46319</v>
      </c>
      <c r="AB43" s="264">
        <f t="shared" si="7"/>
        <v>46320</v>
      </c>
      <c r="AC43" s="264">
        <f t="shared" si="7"/>
        <v>46321</v>
      </c>
      <c r="AD43" s="264">
        <f t="shared" si="7"/>
        <v>46322</v>
      </c>
      <c r="AE43" s="264">
        <f t="shared" si="7"/>
        <v>46323</v>
      </c>
      <c r="AF43" s="264">
        <f t="shared" si="10"/>
        <v>46324</v>
      </c>
      <c r="AG43" s="264">
        <f t="shared" si="10"/>
        <v>46325</v>
      </c>
      <c r="AH43" s="264">
        <f t="shared" si="10"/>
        <v>46326</v>
      </c>
    </row>
    <row r="44" spans="1:34" x14ac:dyDescent="0.3">
      <c r="A44">
        <v>11</v>
      </c>
      <c r="B44" s="264">
        <f>VLOOKUP($F$13,$C$34:$AH$45,12,FALSE)</f>
        <v>46033</v>
      </c>
      <c r="C44" s="1">
        <v>11</v>
      </c>
      <c r="D44" s="264">
        <f t="shared" si="8"/>
        <v>46327</v>
      </c>
      <c r="E44" s="264">
        <f t="shared" si="9"/>
        <v>46328</v>
      </c>
      <c r="F44" s="264">
        <f t="shared" si="9"/>
        <v>46329</v>
      </c>
      <c r="G44" s="264">
        <f t="shared" si="9"/>
        <v>46330</v>
      </c>
      <c r="H44" s="264">
        <f t="shared" si="9"/>
        <v>46331</v>
      </c>
      <c r="I44" s="264">
        <f t="shared" si="9"/>
        <v>46332</v>
      </c>
      <c r="J44" s="264">
        <f t="shared" si="9"/>
        <v>46333</v>
      </c>
      <c r="K44" s="264">
        <f t="shared" si="9"/>
        <v>46334</v>
      </c>
      <c r="L44" s="264">
        <f t="shared" si="9"/>
        <v>46335</v>
      </c>
      <c r="M44" s="264">
        <f t="shared" si="9"/>
        <v>46336</v>
      </c>
      <c r="N44" s="264">
        <f t="shared" si="9"/>
        <v>46337</v>
      </c>
      <c r="O44" s="264">
        <f t="shared" si="9"/>
        <v>46338</v>
      </c>
      <c r="P44" s="264">
        <f t="shared" si="9"/>
        <v>46339</v>
      </c>
      <c r="Q44" s="264">
        <f t="shared" si="9"/>
        <v>46340</v>
      </c>
      <c r="R44" s="264">
        <f t="shared" si="9"/>
        <v>46341</v>
      </c>
      <c r="S44" s="264">
        <f t="shared" si="9"/>
        <v>46342</v>
      </c>
      <c r="T44" s="264">
        <f t="shared" si="9"/>
        <v>46343</v>
      </c>
      <c r="U44" s="264">
        <f t="shared" si="7"/>
        <v>46344</v>
      </c>
      <c r="V44" s="264">
        <f t="shared" si="7"/>
        <v>46345</v>
      </c>
      <c r="W44" s="264">
        <f t="shared" si="7"/>
        <v>46346</v>
      </c>
      <c r="X44" s="264">
        <f t="shared" si="7"/>
        <v>46347</v>
      </c>
      <c r="Y44" s="264">
        <f t="shared" si="7"/>
        <v>46348</v>
      </c>
      <c r="Z44" s="264">
        <f t="shared" si="7"/>
        <v>46349</v>
      </c>
      <c r="AA44" s="264">
        <f t="shared" si="7"/>
        <v>46350</v>
      </c>
      <c r="AB44" s="264">
        <f t="shared" si="7"/>
        <v>46351</v>
      </c>
      <c r="AC44" s="264">
        <f t="shared" si="7"/>
        <v>46352</v>
      </c>
      <c r="AD44" s="264">
        <f t="shared" si="7"/>
        <v>46353</v>
      </c>
      <c r="AE44" s="264">
        <f t="shared" si="7"/>
        <v>46354</v>
      </c>
      <c r="AF44" s="264">
        <f t="shared" si="10"/>
        <v>46355</v>
      </c>
      <c r="AG44" s="264">
        <f t="shared" si="10"/>
        <v>46356</v>
      </c>
      <c r="AH44" s="264" t="s">
        <v>1</v>
      </c>
    </row>
    <row r="45" spans="1:34" x14ac:dyDescent="0.3">
      <c r="A45">
        <v>12</v>
      </c>
      <c r="B45" s="264">
        <f>VLOOKUP($F$13,$C$34:$AH$45,13,FALSE)</f>
        <v>46034</v>
      </c>
      <c r="C45" s="1">
        <v>12</v>
      </c>
      <c r="D45" s="264">
        <f t="shared" si="8"/>
        <v>46357</v>
      </c>
      <c r="E45" s="264">
        <f t="shared" si="9"/>
        <v>46358</v>
      </c>
      <c r="F45" s="264">
        <f t="shared" si="9"/>
        <v>46359</v>
      </c>
      <c r="G45" s="264">
        <f t="shared" si="9"/>
        <v>46360</v>
      </c>
      <c r="H45" s="264">
        <f t="shared" si="9"/>
        <v>46361</v>
      </c>
      <c r="I45" s="264">
        <f t="shared" si="9"/>
        <v>46362</v>
      </c>
      <c r="J45" s="264">
        <f t="shared" si="9"/>
        <v>46363</v>
      </c>
      <c r="K45" s="264">
        <f t="shared" si="9"/>
        <v>46364</v>
      </c>
      <c r="L45" s="264">
        <f t="shared" si="9"/>
        <v>46365</v>
      </c>
      <c r="M45" s="264">
        <f t="shared" si="9"/>
        <v>46366</v>
      </c>
      <c r="N45" s="264">
        <f t="shared" si="9"/>
        <v>46367</v>
      </c>
      <c r="O45" s="264">
        <f t="shared" si="9"/>
        <v>46368</v>
      </c>
      <c r="P45" s="264">
        <f t="shared" si="9"/>
        <v>46369</v>
      </c>
      <c r="Q45" s="264">
        <f t="shared" si="9"/>
        <v>46370</v>
      </c>
      <c r="R45" s="264">
        <f t="shared" si="9"/>
        <v>46371</v>
      </c>
      <c r="S45" s="264">
        <f t="shared" si="9"/>
        <v>46372</v>
      </c>
      <c r="T45" s="264">
        <f t="shared" si="9"/>
        <v>46373</v>
      </c>
      <c r="U45" s="264">
        <f t="shared" si="7"/>
        <v>46374</v>
      </c>
      <c r="V45" s="264">
        <f t="shared" si="7"/>
        <v>46375</v>
      </c>
      <c r="W45" s="264">
        <f t="shared" si="7"/>
        <v>46376</v>
      </c>
      <c r="X45" s="264">
        <f t="shared" si="7"/>
        <v>46377</v>
      </c>
      <c r="Y45" s="264">
        <f t="shared" si="7"/>
        <v>46378</v>
      </c>
      <c r="Z45" s="264">
        <f t="shared" si="7"/>
        <v>46379</v>
      </c>
      <c r="AA45" s="264">
        <f t="shared" si="7"/>
        <v>46380</v>
      </c>
      <c r="AB45" s="264">
        <f t="shared" si="7"/>
        <v>46381</v>
      </c>
      <c r="AC45" s="264">
        <f t="shared" si="7"/>
        <v>46382</v>
      </c>
      <c r="AD45" s="264">
        <f t="shared" si="7"/>
        <v>46383</v>
      </c>
      <c r="AE45" s="264">
        <f t="shared" si="7"/>
        <v>46384</v>
      </c>
      <c r="AF45" s="264">
        <f t="shared" si="10"/>
        <v>46385</v>
      </c>
      <c r="AG45" s="264">
        <f t="shared" si="10"/>
        <v>46386</v>
      </c>
      <c r="AH45" s="264">
        <f t="shared" si="10"/>
        <v>46387</v>
      </c>
    </row>
    <row r="46" spans="1:34" x14ac:dyDescent="0.3">
      <c r="A46">
        <v>13</v>
      </c>
      <c r="B46" s="264">
        <f>VLOOKUP($F$13,$C$34:$AH$45,14,FALSE)</f>
        <v>46035</v>
      </c>
    </row>
    <row r="47" spans="1:34" x14ac:dyDescent="0.3">
      <c r="A47">
        <v>14</v>
      </c>
      <c r="B47" s="264">
        <f>VLOOKUP($F$13,$C$34:$AH$45,15,FALSE)</f>
        <v>46036</v>
      </c>
    </row>
    <row r="48" spans="1:34" ht="43.2" x14ac:dyDescent="0.3">
      <c r="A48">
        <v>15</v>
      </c>
      <c r="B48" s="264">
        <f>VLOOKUP($F$13,$C$34:$AH$45,16,FALSE)</f>
        <v>46037</v>
      </c>
      <c r="D48" t="s">
        <v>374</v>
      </c>
      <c r="E48" t="s">
        <v>375</v>
      </c>
      <c r="F48" s="211" t="s">
        <v>379</v>
      </c>
    </row>
    <row r="49" spans="1:6" x14ac:dyDescent="0.3">
      <c r="A49">
        <v>16</v>
      </c>
      <c r="B49" s="264">
        <f>VLOOKUP($F$13,$C$34:$AH$45,17,FALSE)</f>
        <v>46038</v>
      </c>
      <c r="D49" s="391">
        <v>1</v>
      </c>
      <c r="E49" s="391">
        <v>31</v>
      </c>
      <c r="F49" s="465" t="str">
        <f>IF(E49&gt;VLOOKUP(F13,B14:D25,3,FALSE),"vyberte Období do    ","")</f>
        <v/>
      </c>
    </row>
    <row r="50" spans="1:6" x14ac:dyDescent="0.3">
      <c r="A50">
        <v>17</v>
      </c>
      <c r="B50" s="264">
        <f>VLOOKUP($F$13,$C$34:$AH$45,18,FALSE)</f>
        <v>46039</v>
      </c>
      <c r="D50" s="264">
        <f>VLOOKUP(D49,$A$34:$B$64,2,FALSE)</f>
        <v>46023</v>
      </c>
      <c r="E50" s="264">
        <f>VLOOKUP(E49,$A$34:$B$64,2,FALSE)</f>
        <v>46053</v>
      </c>
    </row>
    <row r="51" spans="1:6" x14ac:dyDescent="0.3">
      <c r="A51">
        <v>18</v>
      </c>
      <c r="B51" s="264">
        <f>VLOOKUP($F$13,$C$34:$AH$45,19,FALSE)</f>
        <v>46040</v>
      </c>
    </row>
    <row r="52" spans="1:6" x14ac:dyDescent="0.3">
      <c r="A52">
        <v>19</v>
      </c>
      <c r="B52" s="264">
        <f>VLOOKUP($F$13,$C$34:$AH$45,20,FALSE)</f>
        <v>46041</v>
      </c>
    </row>
    <row r="53" spans="1:6" x14ac:dyDescent="0.3">
      <c r="A53">
        <v>20</v>
      </c>
      <c r="B53" s="264">
        <f>VLOOKUP($F$13,$C$34:$AH$45,21,FALSE)</f>
        <v>46042</v>
      </c>
    </row>
    <row r="54" spans="1:6" x14ac:dyDescent="0.3">
      <c r="A54">
        <v>21</v>
      </c>
      <c r="B54" s="264">
        <f>VLOOKUP($F$13,$C$34:$AH$45,22,FALSE)</f>
        <v>46043</v>
      </c>
    </row>
    <row r="55" spans="1:6" x14ac:dyDescent="0.3">
      <c r="A55">
        <v>22</v>
      </c>
      <c r="B55" s="264">
        <f>VLOOKUP($F$13,$C$34:$AH$45,23,FALSE)</f>
        <v>46044</v>
      </c>
    </row>
    <row r="56" spans="1:6" x14ac:dyDescent="0.3">
      <c r="A56">
        <v>23</v>
      </c>
      <c r="B56" s="264">
        <f>VLOOKUP($F$13,$C$34:$AH$45,24,FALSE)</f>
        <v>46045</v>
      </c>
    </row>
    <row r="57" spans="1:6" x14ac:dyDescent="0.3">
      <c r="A57">
        <v>24</v>
      </c>
      <c r="B57" s="264">
        <f>VLOOKUP($F$13,$C$34:$AH$45,25,FALSE)</f>
        <v>46046</v>
      </c>
    </row>
    <row r="58" spans="1:6" x14ac:dyDescent="0.3">
      <c r="A58">
        <v>25</v>
      </c>
      <c r="B58" s="264">
        <f>VLOOKUP($F$13,$C$34:$AH$45,26,FALSE)</f>
        <v>46047</v>
      </c>
    </row>
    <row r="59" spans="1:6" x14ac:dyDescent="0.3">
      <c r="A59">
        <v>26</v>
      </c>
      <c r="B59" s="264">
        <f>VLOOKUP($F$13,$C$34:$AH$45,27,FALSE)</f>
        <v>46048</v>
      </c>
    </row>
    <row r="60" spans="1:6" x14ac:dyDescent="0.3">
      <c r="A60">
        <v>27</v>
      </c>
      <c r="B60" s="264">
        <f>VLOOKUP($F$13,$C$34:$AH$45,28,FALSE)</f>
        <v>46049</v>
      </c>
    </row>
    <row r="61" spans="1:6" x14ac:dyDescent="0.3">
      <c r="A61">
        <v>28</v>
      </c>
      <c r="B61" s="264">
        <f>VLOOKUP($F$13,$C$34:$AH$45,29,FALSE)</f>
        <v>46050</v>
      </c>
    </row>
    <row r="62" spans="1:6" x14ac:dyDescent="0.3">
      <c r="A62">
        <v>29</v>
      </c>
      <c r="B62" s="264">
        <f>VLOOKUP($F$13,$C$34:$AH$45,30,FALSE)</f>
        <v>46051</v>
      </c>
    </row>
    <row r="63" spans="1:6" x14ac:dyDescent="0.3">
      <c r="A63">
        <v>30</v>
      </c>
      <c r="B63" s="264">
        <f>VLOOKUP($F$13,$C$34:$AH$45,31,FALSE)</f>
        <v>46052</v>
      </c>
    </row>
    <row r="64" spans="1:6" x14ac:dyDescent="0.3">
      <c r="A64">
        <v>31</v>
      </c>
      <c r="B64" s="264">
        <f>VLOOKUP($F$13,$C$34:$AH$45,32,FALSE)</f>
        <v>46053</v>
      </c>
    </row>
    <row r="65" spans="1:1" x14ac:dyDescent="0.3">
      <c r="A65" s="264"/>
    </row>
  </sheetData>
  <mergeCells count="3">
    <mergeCell ref="E9:I9"/>
    <mergeCell ref="A32:M32"/>
    <mergeCell ref="J7:J9"/>
  </mergeCells>
  <pageMargins left="0.7" right="0.7" top="0.78740157499999996" bottom="0.78740157499999996"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60958-D2A7-48A4-81DE-E914BEF37328}">
  <sheetPr codeName="List4">
    <tabColor theme="6" tint="0.79998168889431442"/>
  </sheetPr>
  <dimension ref="A1:AM91"/>
  <sheetViews>
    <sheetView zoomScale="85" zoomScaleNormal="85" workbookViewId="0">
      <selection activeCell="D43" sqref="D43"/>
    </sheetView>
  </sheetViews>
  <sheetFormatPr defaultColWidth="9.33203125" defaultRowHeight="14.4" x14ac:dyDescent="0.3"/>
  <cols>
    <col min="1" max="1" width="11.5546875" customWidth="1"/>
    <col min="2" max="2" width="21.6640625" customWidth="1"/>
    <col min="4" max="4" width="12.33203125" customWidth="1"/>
    <col min="5" max="5" width="38.5546875" customWidth="1"/>
    <col min="6" max="6" width="15.33203125" customWidth="1"/>
    <col min="7" max="7" width="12.5546875" customWidth="1"/>
    <col min="8" max="8" width="15.6640625" customWidth="1"/>
    <col min="9" max="9" width="16.44140625" bestFit="1" customWidth="1"/>
    <col min="10" max="10" width="15.33203125" customWidth="1"/>
    <col min="11" max="11" width="15" bestFit="1" customWidth="1"/>
    <col min="12" max="13" width="15" customWidth="1"/>
    <col min="14" max="14" width="13.44140625" bestFit="1" customWidth="1"/>
    <col min="15" max="15" width="12" bestFit="1" customWidth="1"/>
    <col min="16" max="16" width="11.33203125" customWidth="1"/>
    <col min="17" max="17" width="13.33203125" customWidth="1"/>
    <col min="18" max="18" width="21.6640625" customWidth="1"/>
    <col min="19" max="20" width="12.6640625" customWidth="1"/>
    <col min="21" max="21" width="9.33203125" customWidth="1"/>
    <col min="22" max="22" width="13.6640625" customWidth="1"/>
    <col min="23" max="23" width="22.33203125" customWidth="1"/>
    <col min="24" max="24" width="17.5546875" customWidth="1"/>
    <col min="25" max="25" width="23.6640625" customWidth="1"/>
    <col min="26" max="26" width="16.6640625" customWidth="1"/>
    <col min="27" max="27" width="20" customWidth="1"/>
    <col min="28" max="28" width="23" customWidth="1"/>
    <col min="29" max="30" width="16.6640625" customWidth="1"/>
    <col min="31" max="31" width="23" customWidth="1"/>
    <col min="32" max="33" width="16.6640625" customWidth="1"/>
    <col min="34" max="34" width="23" customWidth="1"/>
    <col min="35" max="36" width="16.5546875" customWidth="1"/>
    <col min="37" max="37" width="23" customWidth="1"/>
    <col min="38" max="38" width="10.6640625" bestFit="1" customWidth="1"/>
    <col min="39" max="39" width="12.44140625" bestFit="1" customWidth="1"/>
  </cols>
  <sheetData>
    <row r="1" spans="1:39" s="34" customFormat="1" ht="15.6" x14ac:dyDescent="0.3">
      <c r="B1" s="35"/>
      <c r="C1" s="35"/>
      <c r="D1" s="35"/>
      <c r="E1" s="35" t="s">
        <v>43</v>
      </c>
      <c r="F1" s="597" t="s">
        <v>44</v>
      </c>
      <c r="G1" s="35"/>
      <c r="H1" s="35"/>
      <c r="I1" s="35"/>
      <c r="J1" s="595" t="s">
        <v>45</v>
      </c>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row>
    <row r="2" spans="1:39" s="34" customFormat="1" ht="15.6" x14ac:dyDescent="0.3">
      <c r="B2" s="35"/>
      <c r="C2" s="35"/>
      <c r="D2" s="37" t="s">
        <v>46</v>
      </c>
      <c r="E2" s="38" t="s">
        <v>47</v>
      </c>
      <c r="F2" s="596" t="s">
        <v>48</v>
      </c>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row>
    <row r="3" spans="1:39" s="34" customFormat="1" ht="15.6" x14ac:dyDescent="0.3">
      <c r="B3" s="35"/>
      <c r="C3" s="35"/>
      <c r="D3" s="40"/>
      <c r="E3" s="41" t="s">
        <v>189</v>
      </c>
      <c r="F3" s="36"/>
      <c r="G3" s="35"/>
      <c r="H3" s="35"/>
      <c r="I3" s="35"/>
      <c r="J3" s="35"/>
      <c r="K3" s="39"/>
      <c r="L3" s="39"/>
      <c r="M3" s="39"/>
      <c r="N3" s="35"/>
      <c r="O3" s="35"/>
      <c r="P3" s="35"/>
      <c r="Q3" s="35"/>
      <c r="R3" s="35"/>
      <c r="S3" s="35"/>
      <c r="T3" s="35"/>
      <c r="U3" s="35"/>
      <c r="V3" s="35"/>
      <c r="W3" s="35"/>
      <c r="X3" s="35"/>
      <c r="Y3" s="35"/>
      <c r="Z3" s="42"/>
      <c r="AA3" s="35"/>
      <c r="AB3" s="35"/>
      <c r="AC3" s="35"/>
      <c r="AD3" s="35"/>
      <c r="AE3" s="35"/>
      <c r="AF3" s="35"/>
      <c r="AG3" s="35"/>
      <c r="AH3" s="35"/>
      <c r="AI3" s="35"/>
      <c r="AJ3" s="35"/>
      <c r="AK3" s="35"/>
    </row>
    <row r="4" spans="1:39" s="34" customFormat="1" ht="57.6" x14ac:dyDescent="0.3">
      <c r="D4" s="43"/>
      <c r="E4" s="233" t="s">
        <v>188</v>
      </c>
      <c r="F4" s="36" t="s">
        <v>187</v>
      </c>
      <c r="G4" s="35"/>
      <c r="H4" s="35"/>
      <c r="I4" s="35"/>
      <c r="J4" s="44" t="s">
        <v>49</v>
      </c>
      <c r="K4" s="45" t="s">
        <v>50</v>
      </c>
      <c r="L4" s="46" t="str">
        <f>VLOOKUP('ovládací prvky'!N13,'ovládací prvky'!I14:J18,2,FALSE)</f>
        <v>&lt;= 500 000 MWh</v>
      </c>
      <c r="M4" s="46" t="str">
        <f>IF(VLOOKUP('ovládací prvky'!N13,'ovládací prvky'!I14:O18,5,FALSE)="OK",VLOOKUP('ovládací prvky'!N13,'ovládací prvky'!I14:J18,2,FALSE),"nevybrána výše rozmezí nadlimitu")</f>
        <v>nevybrána výše rozmezí nadlimitu</v>
      </c>
      <c r="P4" s="3"/>
      <c r="Q4" s="35"/>
      <c r="R4" s="35"/>
      <c r="S4" s="35"/>
      <c r="T4" s="35"/>
      <c r="U4" s="35"/>
      <c r="V4" s="35"/>
      <c r="X4" s="35"/>
      <c r="Y4" s="35"/>
      <c r="Z4" s="36"/>
      <c r="AA4" s="36"/>
      <c r="AB4" s="35"/>
      <c r="AC4" s="35"/>
      <c r="AD4" s="35"/>
      <c r="AE4" s="35"/>
      <c r="AF4" s="35"/>
      <c r="AG4" s="35"/>
      <c r="AH4" s="35"/>
      <c r="AI4" s="35"/>
      <c r="AJ4" s="35"/>
      <c r="AK4" s="35"/>
    </row>
    <row r="5" spans="1:39" s="47" customFormat="1" ht="63.75" customHeight="1" x14ac:dyDescent="0.3">
      <c r="A5" s="735" t="s">
        <v>51</v>
      </c>
      <c r="B5" s="735"/>
      <c r="E5" s="48" t="s">
        <v>52</v>
      </c>
      <c r="F5" s="347" t="str">
        <f>VLOOKUP('ovládací prvky'!J2,'ovládací prvky'!K2:M3,3,FALSE)</f>
        <v>NGAS</v>
      </c>
      <c r="G5" s="48" t="s">
        <v>54</v>
      </c>
      <c r="H5" s="347" t="str">
        <f>VLOOKUP('ovládací prvky'!H2,'ovládací prvky'!H3:I4,2,FALSE)</f>
        <v>dálkovod</v>
      </c>
      <c r="I5" s="46"/>
      <c r="J5" s="48" t="str">
        <f>IF(K5="&lt;= 500 000 MWh","NE","ANO")</f>
        <v>NE</v>
      </c>
      <c r="K5" s="348" t="str">
        <f>IF(VLOOKUP('ovládací prvky'!N13,'ovládací prvky'!I14:O19,7,FALSE)="OK",VLOOKUP('ovládací prvky'!N13,'ovládací prvky'!I14:M19,5,FALSE),"nevybrána výše rozmezí nadlimitu")</f>
        <v>&lt;= 500 000 MWh</v>
      </c>
      <c r="L5" s="46" t="str">
        <f>IF(AND('ovládací prvky'!E2=1,'ovládací prvky'!N13&gt;1),"ANO",IF(AND('ovládací prvky'!E2=1,'ovládací prvky'!N13=1),"není vybrán rozmezí nadlimitu","NE"))</f>
        <v>NE</v>
      </c>
      <c r="M5" s="338"/>
      <c r="Q5" s="46"/>
      <c r="R5" s="46"/>
      <c r="S5" s="46"/>
      <c r="T5" s="46"/>
      <c r="U5" s="46"/>
      <c r="V5" s="46"/>
      <c r="W5" s="46"/>
      <c r="X5" s="46"/>
      <c r="Y5" s="35"/>
      <c r="Z5" s="35"/>
      <c r="AA5" s="35"/>
      <c r="AB5" s="35"/>
      <c r="AC5" s="35"/>
      <c r="AD5" s="35" t="s">
        <v>328</v>
      </c>
      <c r="AE5" s="35"/>
      <c r="AF5" s="46"/>
      <c r="AG5" s="46"/>
      <c r="AH5" s="46"/>
      <c r="AI5" s="46"/>
      <c r="AJ5" s="46"/>
      <c r="AK5" s="46"/>
    </row>
    <row r="6" spans="1:39" s="47" customFormat="1" ht="25.8" x14ac:dyDescent="0.5">
      <c r="A6" s="49" t="s">
        <v>56</v>
      </c>
      <c r="B6" s="50"/>
      <c r="E6" s="51" t="s">
        <v>57</v>
      </c>
      <c r="F6" s="234" t="str">
        <f>VLOOKUP('ovládací prvky'!F13,'ovládací prvky'!B14:C25,2,FALSE)</f>
        <v>Leden</v>
      </c>
      <c r="G6" s="52"/>
      <c r="H6" s="52"/>
      <c r="I6" s="375"/>
      <c r="J6" s="46"/>
      <c r="K6" s="36"/>
      <c r="L6" s="36"/>
      <c r="N6" s="46"/>
      <c r="O6" s="46"/>
      <c r="P6" s="46"/>
      <c r="Q6" s="46"/>
      <c r="R6" s="46"/>
      <c r="S6" s="46"/>
      <c r="T6" s="46"/>
      <c r="U6" s="46"/>
      <c r="V6" s="46"/>
      <c r="W6" s="46"/>
      <c r="X6" s="46"/>
      <c r="Y6" s="46"/>
      <c r="Z6" s="35"/>
      <c r="AA6" s="46"/>
      <c r="AB6" s="46"/>
      <c r="AC6" s="35"/>
      <c r="AD6" s="35"/>
      <c r="AE6" s="35"/>
      <c r="AF6" s="53"/>
      <c r="AG6" s="46"/>
      <c r="AH6" s="46"/>
      <c r="AI6" s="53"/>
      <c r="AJ6" s="46"/>
      <c r="AK6" s="46"/>
    </row>
    <row r="7" spans="1:39" s="47" customFormat="1" ht="43.8" thickBot="1" x14ac:dyDescent="0.35">
      <c r="A7" s="49" t="s">
        <v>58</v>
      </c>
      <c r="B7" s="50"/>
      <c r="E7" s="48" t="s">
        <v>59</v>
      </c>
      <c r="F7" s="349">
        <f>'ovládací prvky'!D50</f>
        <v>46023</v>
      </c>
      <c r="G7" s="349">
        <f>'ovládací prvky'!E50</f>
        <v>46053</v>
      </c>
      <c r="H7" s="52"/>
      <c r="I7" s="46"/>
      <c r="J7" s="229"/>
      <c r="K7" s="229"/>
      <c r="L7" s="46"/>
      <c r="M7" s="46"/>
      <c r="N7" s="46"/>
      <c r="O7" s="46"/>
      <c r="P7" s="46"/>
      <c r="Q7" s="46"/>
      <c r="R7" s="46"/>
      <c r="S7" s="46"/>
      <c r="T7" s="46"/>
      <c r="U7" s="46"/>
      <c r="V7" s="46"/>
      <c r="W7" s="46"/>
      <c r="X7" s="46"/>
      <c r="Y7" s="46"/>
      <c r="Z7" s="46"/>
      <c r="AB7" s="46"/>
      <c r="AC7" s="35"/>
      <c r="AD7" s="35"/>
      <c r="AE7" s="35"/>
      <c r="AF7" s="46"/>
      <c r="AG7" s="46" t="s">
        <v>403</v>
      </c>
      <c r="AH7" s="46"/>
      <c r="AI7" s="46"/>
      <c r="AJ7" s="46"/>
      <c r="AK7" s="46"/>
    </row>
    <row r="8" spans="1:39" s="47" customFormat="1" ht="21.6" customHeight="1" thickBot="1" x14ac:dyDescent="0.35">
      <c r="A8" s="49" t="s">
        <v>60</v>
      </c>
      <c r="B8" s="50"/>
      <c r="E8" s="54" t="s">
        <v>61</v>
      </c>
      <c r="F8" s="48">
        <f>VLOOKUP($F$6,$E$60:$F$71,2,FALSE)</f>
        <v>31</v>
      </c>
      <c r="H8" s="52"/>
      <c r="I8" s="46" t="s">
        <v>1</v>
      </c>
      <c r="J8" s="736" t="s">
        <v>62</v>
      </c>
      <c r="K8" s="737"/>
      <c r="L8" s="737"/>
      <c r="M8" s="737"/>
      <c r="N8" s="737"/>
      <c r="O8" s="737"/>
      <c r="P8" s="737"/>
      <c r="Q8" s="737"/>
      <c r="R8" s="737"/>
      <c r="S8" s="737"/>
      <c r="T8" s="737"/>
      <c r="U8" s="737"/>
      <c r="V8" s="738"/>
      <c r="W8" s="736" t="s">
        <v>27</v>
      </c>
      <c r="X8" s="737"/>
      <c r="Y8" s="738"/>
      <c r="Z8" s="742" t="s">
        <v>63</v>
      </c>
      <c r="AA8" s="742"/>
      <c r="AB8" s="742"/>
      <c r="AC8" s="742"/>
      <c r="AD8" s="742"/>
      <c r="AE8" s="743"/>
      <c r="AF8" s="726" t="s">
        <v>64</v>
      </c>
      <c r="AG8" s="727"/>
      <c r="AH8" s="727"/>
      <c r="AI8" s="727"/>
      <c r="AJ8" s="727"/>
      <c r="AK8" s="728"/>
      <c r="AM8" s="55" t="s">
        <v>65</v>
      </c>
    </row>
    <row r="9" spans="1:39" s="47" customFormat="1" ht="21.6" customHeight="1" thickBot="1" x14ac:dyDescent="0.35">
      <c r="A9" s="49" t="s">
        <v>66</v>
      </c>
      <c r="B9" s="50"/>
      <c r="E9" s="56" t="s">
        <v>67</v>
      </c>
      <c r="F9" s="48">
        <f>G7-F7+1</f>
        <v>31</v>
      </c>
      <c r="G9" s="52"/>
      <c r="I9" s="46"/>
      <c r="J9" s="739"/>
      <c r="K9" s="740"/>
      <c r="L9" s="740"/>
      <c r="M9" s="740"/>
      <c r="N9" s="740"/>
      <c r="O9" s="740"/>
      <c r="P9" s="740"/>
      <c r="Q9" s="740"/>
      <c r="R9" s="740"/>
      <c r="S9" s="740"/>
      <c r="T9" s="740"/>
      <c r="U9" s="740"/>
      <c r="V9" s="741"/>
      <c r="W9" s="739"/>
      <c r="X9" s="740"/>
      <c r="Y9" s="741"/>
      <c r="Z9" s="729" t="s">
        <v>68</v>
      </c>
      <c r="AA9" s="730"/>
      <c r="AB9" s="731"/>
      <c r="AC9" s="730" t="s">
        <v>3</v>
      </c>
      <c r="AD9" s="730"/>
      <c r="AE9" s="731"/>
      <c r="AF9" s="729" t="s">
        <v>68</v>
      </c>
      <c r="AG9" s="730"/>
      <c r="AH9" s="731"/>
      <c r="AI9" s="729" t="s">
        <v>3</v>
      </c>
      <c r="AJ9" s="730"/>
      <c r="AK9" s="731"/>
      <c r="AM9" s="57" t="s">
        <v>69</v>
      </c>
    </row>
    <row r="10" spans="1:39" s="47" customFormat="1" ht="55.8" thickBot="1" x14ac:dyDescent="0.35">
      <c r="A10" s="49" t="s">
        <v>70</v>
      </c>
      <c r="B10" s="50"/>
      <c r="E10" s="48" t="s">
        <v>71</v>
      </c>
      <c r="F10" s="392" t="str">
        <f>IF('ovládací prvky'!K6=1,"ANO","NE")</f>
        <v>NE</v>
      </c>
      <c r="G10" s="48" t="s">
        <v>73</v>
      </c>
      <c r="H10" s="392" t="str">
        <f>IF('ovládací prvky'!C6=2,"ANO","NE")</f>
        <v>NE</v>
      </c>
      <c r="I10" s="58"/>
      <c r="J10" s="59" t="s">
        <v>19</v>
      </c>
      <c r="K10" s="60" t="s">
        <v>74</v>
      </c>
      <c r="L10" s="61" t="s">
        <v>75</v>
      </c>
      <c r="M10" s="61" t="s">
        <v>76</v>
      </c>
      <c r="N10" s="62" t="s">
        <v>77</v>
      </c>
      <c r="O10" s="63" t="s">
        <v>78</v>
      </c>
      <c r="P10" s="63" t="s">
        <v>79</v>
      </c>
      <c r="Q10" s="60" t="s">
        <v>80</v>
      </c>
      <c r="R10" s="60" t="s">
        <v>81</v>
      </c>
      <c r="S10" s="60" t="s">
        <v>82</v>
      </c>
      <c r="T10" s="60" t="s">
        <v>83</v>
      </c>
      <c r="U10" s="60" t="s">
        <v>84</v>
      </c>
      <c r="V10" s="245" t="s">
        <v>85</v>
      </c>
      <c r="W10" s="64" t="s">
        <v>86</v>
      </c>
      <c r="X10" s="65" t="s">
        <v>87</v>
      </c>
      <c r="Y10" s="66" t="s">
        <v>88</v>
      </c>
      <c r="Z10" s="520" t="s">
        <v>86</v>
      </c>
      <c r="AA10" s="63" t="s">
        <v>87</v>
      </c>
      <c r="AB10" s="67" t="s">
        <v>88</v>
      </c>
      <c r="AC10" s="62" t="s">
        <v>86</v>
      </c>
      <c r="AD10" s="63" t="s">
        <v>87</v>
      </c>
      <c r="AE10" s="67" t="s">
        <v>88</v>
      </c>
      <c r="AF10" s="63" t="s">
        <v>86</v>
      </c>
      <c r="AG10" s="63" t="s">
        <v>87</v>
      </c>
      <c r="AH10" s="68" t="s">
        <v>88</v>
      </c>
      <c r="AI10" s="63" t="s">
        <v>86</v>
      </c>
      <c r="AJ10" s="63" t="s">
        <v>87</v>
      </c>
      <c r="AK10" s="69" t="s">
        <v>88</v>
      </c>
      <c r="AL10" s="70" t="s">
        <v>89</v>
      </c>
      <c r="AM10" s="70" t="s">
        <v>5</v>
      </c>
    </row>
    <row r="11" spans="1:39" s="47" customFormat="1" ht="40.200000000000003" customHeight="1" x14ac:dyDescent="0.3">
      <c r="A11" s="49" t="s">
        <v>90</v>
      </c>
      <c r="B11" s="50"/>
      <c r="E11" s="48" t="s">
        <v>91</v>
      </c>
      <c r="F11" s="71">
        <v>0</v>
      </c>
      <c r="G11" s="45" t="s">
        <v>352</v>
      </c>
      <c r="H11" s="45" t="str">
        <f>IF(AND('ovládací prvky'!C6=3,'Výpočet ceny distribuce'!E46&gt;'Výpočet ceny distribuce'!F16),'Výpočet ceny distribuce'!E46,"")</f>
        <v/>
      </c>
      <c r="I11" s="215" t="s">
        <v>92</v>
      </c>
      <c r="J11" s="350">
        <f>'Výpočet ceny distribuce'!F14</f>
        <v>0</v>
      </c>
      <c r="K11" s="73"/>
      <c r="L11" s="73"/>
      <c r="M11" s="73"/>
      <c r="N11" s="74"/>
      <c r="O11" s="74"/>
      <c r="P11" s="74"/>
      <c r="Q11" s="73"/>
      <c r="R11" s="73"/>
      <c r="S11" s="73"/>
      <c r="T11" s="73"/>
      <c r="U11" s="73"/>
      <c r="V11" s="75"/>
      <c r="W11" s="76"/>
      <c r="X11" s="77">
        <f t="shared" ref="X11:X30" si="0">IF(AND($F$5="NGAS",$H$5="dálkovod"),AA11,IF(AND($F$5="NGAS",$H$5="místní síť"),AD11,IF(AND($F$5="EON",$H$5="dálkovod"),AG11,AJ11)))</f>
        <v>2.8239999999999998E-2</v>
      </c>
      <c r="Y11" s="78">
        <f t="shared" ref="Y11:Y31" si="1">IF(AND($F$5="NGAS",$H$5="dálkovod"),AB11,IF(AND($F$5="NGAS",$H$5="místní síť"),AE11,IF(AND($F$5="EON",$H$5="dálkovod"),AH11,AK11)))</f>
        <v>0</v>
      </c>
      <c r="Z11" s="521"/>
      <c r="AA11" s="79">
        <f>IF($H$10="ANO",$F$47,IF($J$5="ANO",VLOOKUP($K$5,$D$49:$F$51,3,FALSE),$F$45))</f>
        <v>2.8239999999999998E-2</v>
      </c>
      <c r="AB11" s="78">
        <f>ROUND(AA11*$J$11,2)</f>
        <v>0</v>
      </c>
      <c r="AC11" s="512"/>
      <c r="AD11" s="79">
        <f>IF($H$10="ANO",$K$47,IF($J$5="ANO",VLOOKUP($K$5,$I$49:$K$49,3,FALSE),$K$45))</f>
        <v>7.4740000000000001E-2</v>
      </c>
      <c r="AE11" s="80">
        <f>ROUND(AD11*$J$11,2)</f>
        <v>0</v>
      </c>
      <c r="AF11" s="82"/>
      <c r="AG11" s="79">
        <f>IF($H$10="ANO",$F$48,IF($J$5="ANO",VLOOKUP($K$5,$D$49:$F$51,3,FALSE),$F$46))</f>
        <v>3.7069999999999999E-2</v>
      </c>
      <c r="AH11" s="80">
        <f>ROUND(AG11*$J$11,2)</f>
        <v>0</v>
      </c>
      <c r="AI11" s="81"/>
      <c r="AJ11" s="79">
        <f>IF($H$10="ANO",$K$48,IF($J$5="ANO",VLOOKUP($K$5,$I$50:$K$50,3,FALSE),$K$46))</f>
        <v>0.13347000000000001</v>
      </c>
      <c r="AK11" s="78">
        <f>ROUND(AJ11*$J$11,2)</f>
        <v>0</v>
      </c>
      <c r="AM11" s="207">
        <f>Y11-AL11</f>
        <v>0</v>
      </c>
    </row>
    <row r="12" spans="1:39" s="47" customFormat="1" ht="28.95" customHeight="1" x14ac:dyDescent="0.3">
      <c r="A12" s="49" t="s">
        <v>93</v>
      </c>
      <c r="B12" s="50"/>
      <c r="E12" s="46"/>
      <c r="F12" s="46"/>
      <c r="G12" s="744" t="s">
        <v>94</v>
      </c>
      <c r="H12" s="84">
        <f>IF($F$11="0",J12,J12/(1-$F$11))</f>
        <v>0</v>
      </c>
      <c r="I12" s="85" t="s">
        <v>95</v>
      </c>
      <c r="J12" s="373">
        <f>'Výpočet ceny distribuce'!F15</f>
        <v>0</v>
      </c>
      <c r="K12" s="86">
        <f>IF(($J$12+$J$14)&lt;$E$56,$E$56,($J$12+$J$14))</f>
        <v>519</v>
      </c>
      <c r="L12" s="87" t="str">
        <f>IF(K12&gt;600000,"&gt; 600 000",IF(K12&gt;200000,"&gt; 200 000","do 200 000"))</f>
        <v>do 200 000</v>
      </c>
      <c r="M12" s="87"/>
      <c r="N12" s="88"/>
      <c r="O12" s="88"/>
      <c r="P12" s="88"/>
      <c r="Q12" s="87"/>
      <c r="R12" s="87"/>
      <c r="S12" s="87"/>
      <c r="T12" s="87"/>
      <c r="U12" s="87"/>
      <c r="V12" s="44"/>
      <c r="W12" s="89"/>
      <c r="X12" s="90">
        <f>IF(H10="ANO",0,IF(AND($F$5="NGAS",$H$5="dálkovod"),AA12,IF(AND($F$5="NGAS",$H$5="místní síť"),AD12,IF(AND($F$5="EON",$H$5="dálkovod"),AG12,AJ12))))</f>
        <v>380.49815999999998</v>
      </c>
      <c r="Y12" s="91">
        <f>IF(H10="ANO",0,IF(AND($F$5="NGAS",$H$5="dálkovod"),AB12,IF(AND($F$5="NGAS",$H$5="místní síť"),AE12,IF(AND($F$5="EON",$H$5="dálkovod"),AH12,AK12))))</f>
        <v>0</v>
      </c>
      <c r="Z12" s="522"/>
      <c r="AA12" s="613">
        <f>ROUND(IF($L12="&gt; 600 000",((($H$45+$I$45*LN(200000))*200000)+(($V$44*$U$44*$S$46)/1000*400000)+(($V$44*$U$44*$T$46)/1000*($K12-600000)))/$K12,IF($L12="&gt; 200 000",((($H$45+$I$45*LN(200000))*200000)+(($V$44*$U$44*$S$45)/1000*($K12-200000)))/$K12,$H$45+$I$45*LN($K12))),5)</f>
        <v>380.49815999999998</v>
      </c>
      <c r="AB12" s="91">
        <f>ROUND($J$12*$AA$12/12/$F$8*$F$9,2)</f>
        <v>0</v>
      </c>
      <c r="AC12" s="513"/>
      <c r="AD12" s="613">
        <f>ROUND(IF($L12="&gt; 600 000",((($M$45+$N$45*LN(200000))*200000)+(($V$44*$U$44*$S$51)/1000*400000)+(($V$44*$U$44*$T$51)/1000*($K12-600000)))/$K12,IF($L12="&gt; 200 000",((($M$45+$N$45*LN(200000))*200000)+(($V$44*$U$44*$S$50)/1000*($K12-200000)))/$K12,$M$45+$N$45*LN($K12))),5)</f>
        <v>457.23935999999998</v>
      </c>
      <c r="AE12" s="92">
        <f>ROUND($J$12*$AD$12/12/$F$8*$F$9,2)</f>
        <v>0</v>
      </c>
      <c r="AF12" s="94"/>
      <c r="AG12" s="613">
        <f>ROUND(IF($L12="&gt; 600 000",((($H$46+$I$46*LN(200000))*200000)+(($V$44*$U$44*$S$46)/1000*400000)+(($V$44*$U$44*$T$46)/1000*($K12-600000)))/$K12,IF($L12="&gt; 200 000",((($H$46+$I$46*LN(200000))*200000)+(($V$44*$U$44*$S$45)/1000*($K12-200000)))/$K12,$H$46+$I$46*LN($K12))),5)</f>
        <v>430.35726</v>
      </c>
      <c r="AH12" s="92">
        <f>ROUND($J$12*$AG$12/12/$F$8*$F$9,2)</f>
        <v>0</v>
      </c>
      <c r="AI12" s="93"/>
      <c r="AJ12" s="613">
        <f>ROUND(IF($L12="&gt; 600 000",((($M$46+$N$46*LN(200000))*200000)+(($V$44*$U$44*$S$51)/1000*400000)+(($V$44*$U$44*$T$51)/1000*($K12-600000)))/$K12,IF($L12="&gt; 200 000",((($M$46+$N$46*LN(200000))*200000)+(($V$44*$U$44*$S$50)/1000*($K12-200000)))/$K12,$M$46+$N$46*LN($K12))),5)</f>
        <v>513.58586000000003</v>
      </c>
      <c r="AK12" s="91">
        <f>ROUND($J$12*$AJ$12/12/$F$8*$F$9,2)</f>
        <v>0</v>
      </c>
      <c r="AM12" s="207">
        <f t="shared" ref="AM12:AM32" si="2">Y12-AL12</f>
        <v>0</v>
      </c>
    </row>
    <row r="13" spans="1:39" s="47" customFormat="1" ht="28.95" customHeight="1" x14ac:dyDescent="0.3">
      <c r="A13" s="49" t="s">
        <v>96</v>
      </c>
      <c r="B13" s="50"/>
      <c r="E13" s="745" t="s">
        <v>97</v>
      </c>
      <c r="F13" s="746"/>
      <c r="G13" s="744"/>
      <c r="H13" s="84">
        <f>IF($F$11="0",J13,J13/(1-$F$11))</f>
        <v>0</v>
      </c>
      <c r="I13" s="95" t="s">
        <v>98</v>
      </c>
      <c r="J13" s="351">
        <f>IF(AND('ovládací prvky'!$C$6=3,'Výpočet ceny distribuce'!E46&gt;'Výpočet ceny distribuce'!F16),'Výpočet ceny distribuce'!E46,'Výpočet ceny distribuce'!F16)</f>
        <v>0</v>
      </c>
      <c r="K13" s="96">
        <f>IF($J$13+$J$14+$J$15&lt;$E$56,$E$56,$J$13+$J$14+$J$15)</f>
        <v>519</v>
      </c>
      <c r="L13" s="96" t="str">
        <f t="shared" ref="L13:L30" si="3">IF(K13&gt;600000,"&gt; 600 000",IF(K13&gt;200000,"&gt; 200 000","do 200 000"))</f>
        <v>do 200 000</v>
      </c>
      <c r="M13" s="96"/>
      <c r="N13" s="97"/>
      <c r="O13" s="97"/>
      <c r="P13" s="97"/>
      <c r="Q13" s="98"/>
      <c r="R13" s="98"/>
      <c r="S13" s="98"/>
      <c r="T13" s="98"/>
      <c r="U13" s="98"/>
      <c r="V13" s="99"/>
      <c r="W13" s="100"/>
      <c r="X13" s="101">
        <f>IF(H10="ANO",0,IF(AND($F$5="NGAS",$H$5="dálkovod"),AA13,IF(AND($F$5="NGAS",$H$5="místní síť"),AD13,IF(AND($F$5="EON",$H$5="dálkovod"),AG13,AJ13))))</f>
        <v>353.88175999999999</v>
      </c>
      <c r="Y13" s="102">
        <f>IF(H10="ANO",0,IF(AND($F$5="NGAS",$H$5="dálkovod"),AB13,IF(AND($F$5="NGAS",$H$5="místní síť"),AE13,IF(AND($F$5="EON",$H$5="dálkovod"),AH13,AK13))))</f>
        <v>0</v>
      </c>
      <c r="Z13" s="523"/>
      <c r="AA13" s="611">
        <f>ROUND(IF($L13="&gt; 600 000",((($G$45+$I$45*LN(200000))*200000)+(($V$44*$U$44*$S$46)/1000*400000)+(($V$44*$U$44*$T$46)/1000*($K13-600000)))/$K13,IF($L13="&gt; 200 000",((($G$45+$I$45*LN(200000))*200000)+(($V$44*$U$44*$S$45)/1000*($K13-200000)))/$K13,$G$45+$I$45*LN($K13))),5)</f>
        <v>353.88175999999999</v>
      </c>
      <c r="AB13" s="102">
        <f>ROUND($J$13*$AA$13/12/$F$8*$F$9,2)</f>
        <v>0</v>
      </c>
      <c r="AC13" s="514"/>
      <c r="AD13" s="613">
        <f>ROUND(IF($L13="&gt; 600 000",((($L$45+$N$45*LN(200000))*200000)+(($V$44*$U$44*$S$51)/1000*400000)+(($V$44*$U$44*$T$51)/1000*($K13-600000)))/$K13,IF($L13="&gt; 200 000",((($L$45+$N$45*LN(200000))*200000)+(($V$44*$U$44*$S$50)/1000*($K13-200000)))/$K13,$L$45+$N$45*LN($K13))),5)</f>
        <v>426.96856000000002</v>
      </c>
      <c r="AE13" s="103">
        <f>ROUND($J$13*$AD$13/12/$F$8*$F$9,2)</f>
        <v>0</v>
      </c>
      <c r="AF13" s="104"/>
      <c r="AG13" s="613">
        <f>ROUND(IF($L13="&gt; 600 000",((($G$46+$I$46*LN(200000))*200000)+(($V$44*$U$44*$S$46)/1000*400000)+(($V$44*$U$44*$T$46)/1000*($K13-600000)))/$K13,IF($L13="&gt; 200 000",((($G$46+$I$46*LN(200000))*200000)+(($V$44*$U$44*$S$45)/1000*($K13-200000)))/$K13,$G$46+$I$46*LN($K13))),5)</f>
        <v>407.90656000000001</v>
      </c>
      <c r="AH13" s="103">
        <f>ROUND($J$13*$AG$13/12/$F$8*$F$9,2)</f>
        <v>0</v>
      </c>
      <c r="AI13" s="105"/>
      <c r="AJ13" s="613">
        <f>ROUND(IF($L13="&gt; 600 000",((($L$46+$N$46*LN(200000))*200000)+(($V$44*$U$44*$S$51)/1000*400000)+(($V$44*$U$44*$T$51)/1000*($K13-600000)))/$K13,IF($L13="&gt; 200 000",((($L$46+$N$46*LN(200000))*200000)+(($V$44*$U$44*$S$50)/1000*($K13-200000)))/$K13,$L$46+$N$46*LN($K13))),5)</f>
        <v>487.17185999999998</v>
      </c>
      <c r="AK13" s="103">
        <f>ROUND($J$13*$AJ$13/12/$F$8*$F$9,2)</f>
        <v>0</v>
      </c>
      <c r="AM13" s="207">
        <f t="shared" si="2"/>
        <v>0</v>
      </c>
    </row>
    <row r="14" spans="1:39" s="47" customFormat="1" ht="15.6" x14ac:dyDescent="0.3">
      <c r="A14" s="49" t="s">
        <v>99</v>
      </c>
      <c r="B14" s="50"/>
      <c r="E14" s="106" t="s">
        <v>100</v>
      </c>
      <c r="F14" s="96">
        <f>H13+J15+J16+J17+J18+J19+J20+J21+J22+J23+J24+J25+(IF(AND(N26&lt;=F18,O26&gt;=F18),J26,0)+IF(AND(N27&lt;=F18,O27&gt;=F18),J27,0)+IF(AND(N28&lt;=F18,O28&gt;=F18),J28,0)+IF(AND(N29&lt;=F18,O29&gt;=F18),J29,0)+IF(AND(N30&lt;=F18,O30&gt;=F18),J30,0))</f>
        <v>0</v>
      </c>
      <c r="G14" s="744"/>
      <c r="H14" s="84">
        <f>IF($F$11="0",J14,J14/(1-$F$11))</f>
        <v>0</v>
      </c>
      <c r="I14" s="107" t="s">
        <v>101</v>
      </c>
      <c r="J14" s="352">
        <f>'Výpočet ceny distribuce'!F18</f>
        <v>0</v>
      </c>
      <c r="K14" s="374">
        <f>IF($J$12&gt;0,$K$12,IF($J$13+$J$14+$J$15&lt;$E$56,$E$56,$J$13+$J$14+$J$15))</f>
        <v>519</v>
      </c>
      <c r="L14" s="96" t="str">
        <f t="shared" si="3"/>
        <v>do 200 000</v>
      </c>
      <c r="M14" s="96"/>
      <c r="N14" s="108"/>
      <c r="O14" s="108"/>
      <c r="P14" s="108"/>
      <c r="Q14" s="109"/>
      <c r="R14" s="109"/>
      <c r="S14" s="109"/>
      <c r="T14" s="109"/>
      <c r="U14" s="109"/>
      <c r="V14" s="110"/>
      <c r="W14" s="89"/>
      <c r="X14" s="90">
        <f>IF(H10="ANO",0,IF(AND($F$5="NGAS",$H$5="dálkovod"),AA14,IF(AND($F$5="NGAS",$H$5="místní síť"),AD14,IF(AND($F$5="EON",$H$5="dálkovod"),AG14,AJ14))))</f>
        <v>353.88175999999999</v>
      </c>
      <c r="Y14" s="91">
        <f>IF(H10="ANO",0,IF(AND($F$5="NGAS",$H$5="dálkovod"),AB14,IF(AND($F$5="NGAS",$H$5="místní síť"),AE14,IF(AND($F$5="EON",$H$5="dálkovod"),AH14,AK14))))</f>
        <v>0</v>
      </c>
      <c r="Z14" s="522"/>
      <c r="AA14" s="613">
        <f>IF($J$12&gt;0,$AA$12,ROUND(IF($L14="&gt; 600 000",((($G$45+$I$45*LN(200000))*200000)+(($V$44*$U$44*$S$46)/1000*400000)+(($V$44*$U$44*$T$46)/1000*($K14-600000)))/$K14,IF($L14="&gt; 200 000",((($G$45+$I$45*LN(200000))*200000)+(($V$44*$U$44*$S$45)/1000*($K14-200000)))/$K14,$G$45+$I$45*LN($K14))),5))</f>
        <v>353.88175999999999</v>
      </c>
      <c r="AB14" s="91">
        <f>ROUND($J$14*$AA$14/12/$F$8*$F$9,2)</f>
        <v>0</v>
      </c>
      <c r="AC14" s="513"/>
      <c r="AD14" s="613">
        <f>IF($J$12&gt;0,$AD$12,ROUND(IF($L14="&gt; 600 000",((($L$45+$N$45*LN(200000))*200000)+(($V$44*$U$44*$S$51)/1000*400000)+(($V$44*$U$44*$T$51)/1000*($K14-600000)))/$K14,IF($L14="&gt; 200 000",((($L$45+$N$45*LN(200000))*200000)+(($V$44*$U$44*$S$50)/1000*($K14-200000)))/$K14,$L$45+$N$45*LN($K14))),5))</f>
        <v>426.96856000000002</v>
      </c>
      <c r="AE14" s="92">
        <f>ROUND($J$14*$AD$14/12/$F$8*$F$9,2)</f>
        <v>0</v>
      </c>
      <c r="AF14" s="111"/>
      <c r="AG14" s="613">
        <f>IF($J$12&gt;0,$AG$12,ROUND(IF($L14="&gt; 600 000",((($G$46+$I$46*LN(200000))*200000)+(($V$44*$U$44*$S$46)/1000*400000)+(($V$44*$U$44*$T$46)/1000*($K14-600000)))/$K14,IF($L14="&gt; 200 000",((($G$46+$I$46*LN(200000))*200000)+(($V$44*$U$44*$S$45)/1000*($K14-200000)))/$K14,$G$46+$I$46*LN($K14))),5))</f>
        <v>407.90656000000001</v>
      </c>
      <c r="AH14" s="92">
        <f>ROUND($J$14*$AG$14/12/$F$8*$F$9,2)</f>
        <v>0</v>
      </c>
      <c r="AI14" s="93"/>
      <c r="AJ14" s="613">
        <f>IF($J$12&gt;0,$AJ$12,ROUND(IF($L14="&gt; 600 000",((($L$46+$N$46*LN(200000))*200000)+(($V$44*$U$44*$S$51)/1000*400000)+(($V$44*$U$44*$T$51)/1000*($K14-600000)))/$K14,IF($L14="&gt; 200 000",((($L$46+$N$46*LN(200000))*200000)+(($V$44*$U$44*$S$50)/1000*($K14-200000)))/$K14,$L$46+$N$46*LN($K14))),5))</f>
        <v>487.17185999999998</v>
      </c>
      <c r="AK14" s="92">
        <f>ROUND($J$14*$AJ$14/12/$F$8*$F$9,2)</f>
        <v>0</v>
      </c>
      <c r="AM14" s="207">
        <f t="shared" si="2"/>
        <v>0</v>
      </c>
    </row>
    <row r="15" spans="1:39" s="47" customFormat="1" ht="16.2" thickBot="1" x14ac:dyDescent="0.35">
      <c r="A15" s="49" t="s">
        <v>102</v>
      </c>
      <c r="B15" s="50"/>
      <c r="E15" s="45" t="s">
        <v>103</v>
      </c>
      <c r="F15" s="45">
        <f>$F$14/100*3.8</f>
        <v>0</v>
      </c>
      <c r="G15" s="744"/>
      <c r="H15" s="84">
        <f>IF($F$11="0",J15,J15/(1-$F$11))</f>
        <v>0</v>
      </c>
      <c r="I15" s="112" t="s">
        <v>104</v>
      </c>
      <c r="J15" s="364">
        <f>IF(OR($C$15&gt;0,'ovládací prvky'!$C$6=3),0,'Výpočet ceny distribuce'!F17)</f>
        <v>0</v>
      </c>
      <c r="K15" s="113">
        <f>IF($J$13+$J$14+$J$15&lt;$E$56,$E$56,$J$13+$J$14+$J$15)</f>
        <v>519</v>
      </c>
      <c r="L15" s="113" t="str">
        <f t="shared" si="3"/>
        <v>do 200 000</v>
      </c>
      <c r="M15" s="113"/>
      <c r="N15" s="114"/>
      <c r="O15" s="114"/>
      <c r="P15" s="114"/>
      <c r="Q15" s="115"/>
      <c r="R15" s="115"/>
      <c r="S15" s="115"/>
      <c r="T15" s="115"/>
      <c r="U15" s="115"/>
      <c r="V15" s="116"/>
      <c r="W15" s="117"/>
      <c r="X15" s="118">
        <f>IF(H10="ANO",0,IF(AND($F$5="NGAS",$H$5="dálkovod"),AA15,IF(AND($F$5="NGAS",$H$5="místní síť"),AD15,IF(AND($F$5="EON",$H$5="dálkovod"),AG15,AJ15))))</f>
        <v>353.88175999999999</v>
      </c>
      <c r="Y15" s="119">
        <f>IF(H10="ANO",0,IF(AND($F$5="NGAS",$H$5="dálkovod"),AB15,IF(AND($F$5="NGAS",$H$5="místní síť"),AE15,IF(AND($F$5="EON",$H$5="dálkovod"),AH15,AK15))))</f>
        <v>0</v>
      </c>
      <c r="Z15" s="152"/>
      <c r="AA15" s="614">
        <f t="shared" ref="AA15:AA25" si="4">ROUND(IF($L15="&gt; 600 000",((($G$45+$I$45*LN(200000))*200000)+(($V$44*$U$44*$S$46)/1000*400000)+(($V$44*$U$44*$T$46)/1000*($K15-600000)))/$K15,IF($L15="&gt; 200 000",((($G$45+$I$45*LN(200000))*200000)+(($V$44*$U$44*$S$45)/1000*($K15-200000)))/$K15,$G$45+$I$45*LN($K15))),5)</f>
        <v>353.88175999999999</v>
      </c>
      <c r="AB15" s="119">
        <f>ROUND($J$15*$AA$15/12/$F$8*$F$9,2)</f>
        <v>0</v>
      </c>
      <c r="AC15" s="515"/>
      <c r="AD15" s="614">
        <f>ROUND(IF($L15="&gt; 600 000",((($L$45+$N$45*LN(200000))*200000)+(($V$44*$U$44*$S$51)/1000*400000)+(($V$44*$U$44*$T$51)/1000*($K15-600000)))/$K15,IF($L15="&gt; 200 000",((($L$45+$N$45*LN(200000))*200000)+(($V$44*$U$44*$S$50)/1000*($K15-200000)))/$K15,$L$45+$N$45*LN($K15))),5)</f>
        <v>426.96856000000002</v>
      </c>
      <c r="AE15" s="120">
        <f>ROUND($J$15*$AD$15/12/$F$8*$F$9,2)</f>
        <v>0</v>
      </c>
      <c r="AF15" s="122"/>
      <c r="AG15" s="614">
        <f t="shared" ref="AG15:AG25" si="5">ROUND(IF($L15="&gt; 600 000",((($G$46+$I$46*LN(200000))*200000)+(($V$44*$U$44*$S$46)/1000*400000)+(($V$44*$U$44*$T$46)/1000*($K15-600000)))/$K15,IF($L15="&gt; 200 000",((($G$46+$I$46*LN(200000))*200000)+(($V$44*$U$44*$S$45)/1000*($K15-200000)))/$K15,$G$46+$I$46*LN($K15))),5)</f>
        <v>407.90656000000001</v>
      </c>
      <c r="AH15" s="120">
        <f>ROUND($J$15*$AG$15/12/$F$8*$F$9,2)</f>
        <v>0</v>
      </c>
      <c r="AI15" s="121"/>
      <c r="AJ15" s="614">
        <f t="shared" ref="AJ15:AJ25" si="6">ROUND(IF($L15="&gt; 600 000",((($L$46+$N$46*LN(200000))*200000)+(($V$44*$U$44*$S$51)/1000*400000)+(($V$44*$U$44*$T$51)/1000*($K15-600000)))/$K15,IF($L15="&gt; 200 000",((($L$46+$N$46*LN(200000))*200000)+(($V$44*$U$44*$S$50)/1000*($K15-200000)))/$K15,$L$46+$N$46*LN($K15))),5)</f>
        <v>487.17185999999998</v>
      </c>
      <c r="AK15" s="123">
        <f>ROUND($J$15*$AJ$15/12/$F$8*$F$9,2)</f>
        <v>0</v>
      </c>
      <c r="AM15" s="207">
        <f t="shared" si="2"/>
        <v>0</v>
      </c>
    </row>
    <row r="16" spans="1:39" s="47" customFormat="1" ht="28.8" x14ac:dyDescent="0.3">
      <c r="A16" s="49" t="s">
        <v>105</v>
      </c>
      <c r="B16" s="50"/>
      <c r="E16" s="45" t="s">
        <v>106</v>
      </c>
      <c r="F16" s="124">
        <f>$F$14+$F$15</f>
        <v>0</v>
      </c>
      <c r="G16" s="125" t="s">
        <v>107</v>
      </c>
      <c r="H16" s="126">
        <f>SUM(H13:H15)</f>
        <v>0</v>
      </c>
      <c r="I16" s="95" t="s">
        <v>33</v>
      </c>
      <c r="J16" s="353">
        <f>IF(OR($C$15&gt;0,'ovládací prvky'!$C$6=3),0,'Výpočet ceny distribuce'!F19)</f>
        <v>0</v>
      </c>
      <c r="K16" s="127">
        <f t="shared" ref="K16:K25" si="7">IF($F$11=0,IF(SUM($J$13:$J$25)&lt;$E$56,$E$56,SUM($J$13:$J$25)),IF($H$16+SUM($J$16:$J$25)&lt;$E$56,$E$56,($H$16+SUM($J$16:$J$25))))</f>
        <v>519</v>
      </c>
      <c r="L16" s="127" t="str">
        <f t="shared" si="3"/>
        <v>do 200 000</v>
      </c>
      <c r="M16" s="127"/>
      <c r="N16" s="128">
        <f t="shared" ref="N16:N25" si="8">$F$7</f>
        <v>46023</v>
      </c>
      <c r="O16" s="128">
        <f t="shared" ref="O16:O25" si="9">$G$7</f>
        <v>46053</v>
      </c>
      <c r="P16" s="129">
        <f t="shared" ref="P16:P25" si="10">VLOOKUP($F$6,$E$60:$H$71,4,FALSE)</f>
        <v>0.4</v>
      </c>
      <c r="Q16" s="98"/>
      <c r="R16" s="98"/>
      <c r="S16" s="98"/>
      <c r="T16" s="98"/>
      <c r="U16" s="98"/>
      <c r="V16" s="130"/>
      <c r="W16" s="100"/>
      <c r="X16" s="101">
        <f>IF(H10="ANO",0,IF(AND($F$5="NGAS",$H$5="dálkovod"),AA16,IF(AND($F$5="NGAS",$H$5="místní síť"),AD16,IF(AND($F$5="EON",$H$5="dálkovod"),AG16,AJ16))))</f>
        <v>353.88175999999999</v>
      </c>
      <c r="Y16" s="102">
        <f>IF(H10="ANO",0,IF(AND($F$5="NGAS",$H$5="dálkovod"),AB16,IF(AND($F$5="NGAS",$H$5="místní síť"),AE16,IF(AND($F$5="EON",$H$5="dálkovod"),AH16,AK16))))</f>
        <v>0</v>
      </c>
      <c r="Z16" s="523"/>
      <c r="AA16" s="611">
        <f t="shared" si="4"/>
        <v>353.88175999999999</v>
      </c>
      <c r="AB16" s="102">
        <f>ROUND(($J16*$AA16*$P16)/$F$8*$F$9,2)</f>
        <v>0</v>
      </c>
      <c r="AC16" s="514"/>
      <c r="AD16" s="611">
        <f t="shared" ref="AD16:AD25" si="11">ROUND(IF($L16="&gt; 600 000",((($L$45+$N$45*LN(200000))*200000)+(($V$44*$U$44*$S$51)/1000*400000)+(($V$44*$U$44*$T$519)/1000*($K16-600000)))/$K16,IF($L16="&gt; 200 000",((($L$45+$N$45*LN(200000))*200000)+(($V$44*$U$44*$S$50)/1000*($K16-200000)))/$K16,$L$45+$N$45*LN($K16))),5)</f>
        <v>426.96856000000002</v>
      </c>
      <c r="AE16" s="103">
        <f>ROUND(($J16*$AD16*$P16)/$F$8*$F$9,2)</f>
        <v>0</v>
      </c>
      <c r="AF16" s="104"/>
      <c r="AG16" s="611">
        <f t="shared" si="5"/>
        <v>407.90656000000001</v>
      </c>
      <c r="AH16" s="103">
        <f t="shared" ref="AH16:AH25" si="12">ROUND(($J16*$AG16*$P16)/$F$8*$F$9,2)</f>
        <v>0</v>
      </c>
      <c r="AI16" s="105"/>
      <c r="AJ16" s="611">
        <f t="shared" si="6"/>
        <v>487.17185999999998</v>
      </c>
      <c r="AK16" s="103">
        <f t="shared" ref="AK16:AK25" si="13">ROUND(($J16*$AJ16*$P16)/$F$8*$F$9,2)</f>
        <v>0</v>
      </c>
      <c r="AM16" s="207">
        <f t="shared" si="2"/>
        <v>0</v>
      </c>
    </row>
    <row r="17" spans="1:39" s="47" customFormat="1" ht="31.95" customHeight="1" x14ac:dyDescent="0.3">
      <c r="A17" s="49" t="s">
        <v>108</v>
      </c>
      <c r="B17" s="50"/>
      <c r="E17" s="45" t="s">
        <v>109</v>
      </c>
      <c r="F17" s="131">
        <f>F16/24</f>
        <v>0</v>
      </c>
      <c r="I17" s="107" t="s">
        <v>34</v>
      </c>
      <c r="J17" s="353">
        <f>IF(OR($C$15&gt;0,'ovládací prvky'!$C$6=3),0,'Výpočet ceny distribuce'!F20)</f>
        <v>0</v>
      </c>
      <c r="K17" s="96">
        <f t="shared" si="7"/>
        <v>519</v>
      </c>
      <c r="L17" s="96" t="str">
        <f t="shared" si="3"/>
        <v>do 200 000</v>
      </c>
      <c r="M17" s="96"/>
      <c r="N17" s="128">
        <f t="shared" si="8"/>
        <v>46023</v>
      </c>
      <c r="O17" s="128">
        <f t="shared" si="9"/>
        <v>46053</v>
      </c>
      <c r="P17" s="129">
        <f t="shared" si="10"/>
        <v>0.4</v>
      </c>
      <c r="Q17" s="98"/>
      <c r="R17" s="98"/>
      <c r="S17" s="98"/>
      <c r="T17" s="98"/>
      <c r="U17" s="98"/>
      <c r="V17" s="132"/>
      <c r="W17" s="100"/>
      <c r="X17" s="90">
        <f>IF(H10="ANO",0,IF(AND($F$5="NGAS",$H$5="dálkovod"),AA17,IF(AND($F$5="NGAS",$H$5="místní síť"),AD17,IF(AND($F$5="EON",$H$5="dálkovod"),AG17,AJ17))))</f>
        <v>353.88175999999999</v>
      </c>
      <c r="Y17" s="91">
        <f>IF(H10="ANO",0,IF(AND($F$5="NGAS",$H$5="dálkovod"),AB17,IF(AND($F$5="NGAS",$H$5="místní síť"),AE17,IF(AND($F$5="EON",$H$5="dálkovod"),AH17,AK17))))</f>
        <v>0</v>
      </c>
      <c r="Z17" s="523"/>
      <c r="AA17" s="611">
        <f t="shared" si="4"/>
        <v>353.88175999999999</v>
      </c>
      <c r="AB17" s="91">
        <f t="shared" ref="AB17:AB25" si="14">ROUND(($J17*$AA17*$P17)/$F$8*$F$9,2)</f>
        <v>0</v>
      </c>
      <c r="AC17" s="513"/>
      <c r="AD17" s="611">
        <f t="shared" si="11"/>
        <v>426.96856000000002</v>
      </c>
      <c r="AE17" s="92">
        <f t="shared" ref="AE17:AE25" si="15">ROUND(($J17*$AD17*$P17)/$F$8*$F$9,2)</f>
        <v>0</v>
      </c>
      <c r="AF17" s="133"/>
      <c r="AG17" s="611">
        <f t="shared" si="5"/>
        <v>407.90656000000001</v>
      </c>
      <c r="AH17" s="92">
        <f t="shared" si="12"/>
        <v>0</v>
      </c>
      <c r="AI17" s="93"/>
      <c r="AJ17" s="611">
        <f t="shared" si="6"/>
        <v>487.17185999999998</v>
      </c>
      <c r="AK17" s="92">
        <f t="shared" si="13"/>
        <v>0</v>
      </c>
      <c r="AM17" s="207">
        <f t="shared" si="2"/>
        <v>0</v>
      </c>
    </row>
    <row r="18" spans="1:39" s="47" customFormat="1" ht="36" customHeight="1" x14ac:dyDescent="0.3">
      <c r="A18" s="134" t="s">
        <v>110</v>
      </c>
      <c r="B18" s="354">
        <f>SUM(B6:B17)/1000</f>
        <v>0</v>
      </c>
      <c r="E18" s="45" t="s">
        <v>111</v>
      </c>
      <c r="F18" s="355">
        <f>'Výpočet ceny distribuce'!D46</f>
        <v>0</v>
      </c>
      <c r="G18" s="50" t="s">
        <v>112</v>
      </c>
      <c r="I18" s="107" t="s">
        <v>35</v>
      </c>
      <c r="J18" s="353">
        <f>IF(OR($C$15&gt;0,'ovládací prvky'!$C$6=3),0,'Výpočet ceny distribuce'!F21)</f>
        <v>0</v>
      </c>
      <c r="K18" s="96">
        <f t="shared" si="7"/>
        <v>519</v>
      </c>
      <c r="L18" s="96" t="str">
        <f t="shared" si="3"/>
        <v>do 200 000</v>
      </c>
      <c r="M18" s="96"/>
      <c r="N18" s="128">
        <f t="shared" si="8"/>
        <v>46023</v>
      </c>
      <c r="O18" s="128">
        <f t="shared" si="9"/>
        <v>46053</v>
      </c>
      <c r="P18" s="129">
        <f t="shared" si="10"/>
        <v>0.4</v>
      </c>
      <c r="Q18" s="98"/>
      <c r="R18" s="98"/>
      <c r="S18" s="98"/>
      <c r="T18" s="98"/>
      <c r="U18" s="98"/>
      <c r="V18" s="132"/>
      <c r="W18" s="100"/>
      <c r="X18" s="90">
        <f>IF(H10="ANO",0,IF(AND($F$5="NGAS",$H$5="dálkovod"),AA18,IF(AND($F$5="NGAS",$H$5="místní síť"),AD18,IF(AND($F$5="EON",$H$5="dálkovod"),AG18,AJ18))))</f>
        <v>353.88175999999999</v>
      </c>
      <c r="Y18" s="91">
        <f>IF(H10="ANO",0,IF(AND($F$5="NGAS",$H$5="dálkovod"),AB18,IF(AND($F$5="NGAS",$H$5="místní síť"),AE18,IF(AND($F$5="EON",$H$5="dálkovod"),AH18,AK18))))</f>
        <v>0</v>
      </c>
      <c r="Z18" s="523"/>
      <c r="AA18" s="611">
        <f t="shared" si="4"/>
        <v>353.88175999999999</v>
      </c>
      <c r="AB18" s="91">
        <f t="shared" si="14"/>
        <v>0</v>
      </c>
      <c r="AC18" s="513"/>
      <c r="AD18" s="611">
        <f t="shared" si="11"/>
        <v>426.96856000000002</v>
      </c>
      <c r="AE18" s="92">
        <f t="shared" si="15"/>
        <v>0</v>
      </c>
      <c r="AF18" s="133"/>
      <c r="AG18" s="611">
        <f t="shared" si="5"/>
        <v>407.90656000000001</v>
      </c>
      <c r="AH18" s="92">
        <f t="shared" si="12"/>
        <v>0</v>
      </c>
      <c r="AI18" s="93"/>
      <c r="AJ18" s="611">
        <f t="shared" si="6"/>
        <v>487.17185999999998</v>
      </c>
      <c r="AK18" s="92">
        <f t="shared" si="13"/>
        <v>0</v>
      </c>
      <c r="AM18" s="207">
        <f t="shared" si="2"/>
        <v>0</v>
      </c>
    </row>
    <row r="19" spans="1:39" s="47" customFormat="1" ht="29.7" customHeight="1" x14ac:dyDescent="0.3">
      <c r="A19" s="47" t="s">
        <v>113</v>
      </c>
      <c r="B19" s="356">
        <f>500001-B18</f>
        <v>500001</v>
      </c>
      <c r="E19" s="135" t="s">
        <v>114</v>
      </c>
      <c r="F19" s="357">
        <f>'Výpočet ceny distribuce'!E46</f>
        <v>0</v>
      </c>
      <c r="G19" s="358">
        <f>F19/24</f>
        <v>0</v>
      </c>
      <c r="I19" s="107" t="s">
        <v>36</v>
      </c>
      <c r="J19" s="353">
        <f>IF(OR($C$15&gt;0,'ovládací prvky'!$C$6=3),0,'Výpočet ceny distribuce'!F22)</f>
        <v>0</v>
      </c>
      <c r="K19" s="96">
        <f t="shared" si="7"/>
        <v>519</v>
      </c>
      <c r="L19" s="96" t="str">
        <f t="shared" si="3"/>
        <v>do 200 000</v>
      </c>
      <c r="M19" s="96"/>
      <c r="N19" s="128">
        <f t="shared" si="8"/>
        <v>46023</v>
      </c>
      <c r="O19" s="128">
        <f t="shared" si="9"/>
        <v>46053</v>
      </c>
      <c r="P19" s="129">
        <f t="shared" si="10"/>
        <v>0.4</v>
      </c>
      <c r="Q19" s="98"/>
      <c r="R19" s="98"/>
      <c r="S19" s="98"/>
      <c r="T19" s="98"/>
      <c r="U19" s="98"/>
      <c r="V19" s="132"/>
      <c r="W19" s="100"/>
      <c r="X19" s="90">
        <f>IF(H10="ANO",0,IF(AND($F$5="NGAS",$H$5="dálkovod"),AA19,IF(AND($F$5="NGAS",$H$5="místní síť"),AD19,IF(AND($F$5="EON",$H$5="dálkovod"),AG19,AJ19))))</f>
        <v>353.88175999999999</v>
      </c>
      <c r="Y19" s="91">
        <f>IF(H10="ANO",0,IF(AND($F$5="NGAS",$H$5="dálkovod"),AB19,IF(AND($F$5="NGAS",$H$5="místní síť"),AE19,IF(AND($F$5="EON",$H$5="dálkovod"),AH19,AK19))))</f>
        <v>0</v>
      </c>
      <c r="Z19" s="523"/>
      <c r="AA19" s="611">
        <f t="shared" si="4"/>
        <v>353.88175999999999</v>
      </c>
      <c r="AB19" s="91">
        <f t="shared" si="14"/>
        <v>0</v>
      </c>
      <c r="AC19" s="513"/>
      <c r="AD19" s="611">
        <f t="shared" si="11"/>
        <v>426.96856000000002</v>
      </c>
      <c r="AE19" s="92">
        <f t="shared" si="15"/>
        <v>0</v>
      </c>
      <c r="AF19" s="133"/>
      <c r="AG19" s="611">
        <f t="shared" si="5"/>
        <v>407.90656000000001</v>
      </c>
      <c r="AH19" s="92">
        <f t="shared" si="12"/>
        <v>0</v>
      </c>
      <c r="AI19" s="93"/>
      <c r="AJ19" s="611">
        <f t="shared" si="6"/>
        <v>487.17185999999998</v>
      </c>
      <c r="AK19" s="92">
        <f t="shared" si="13"/>
        <v>0</v>
      </c>
      <c r="AM19" s="207">
        <f t="shared" si="2"/>
        <v>0</v>
      </c>
    </row>
    <row r="20" spans="1:39" s="47" customFormat="1" ht="15.6" x14ac:dyDescent="0.3">
      <c r="A20" s="47" t="s">
        <v>115</v>
      </c>
      <c r="B20" s="359">
        <f>B19*1000/31/24/10.632</f>
        <v>63209.589431782326</v>
      </c>
      <c r="E20" s="45" t="s">
        <v>116</v>
      </c>
      <c r="F20" s="136">
        <f>IF(OR($F$14="",$F$14=0),1,($F$19/$F$14)-100%)</f>
        <v>1</v>
      </c>
      <c r="G20" s="137"/>
      <c r="I20" s="107" t="s">
        <v>37</v>
      </c>
      <c r="J20" s="353">
        <f>IF(OR($C$15&gt;0,'ovládací prvky'!$C$6=3),0,'Výpočet ceny distribuce'!F23)</f>
        <v>0</v>
      </c>
      <c r="K20" s="96">
        <f t="shared" si="7"/>
        <v>519</v>
      </c>
      <c r="L20" s="96" t="str">
        <f t="shared" si="3"/>
        <v>do 200 000</v>
      </c>
      <c r="M20" s="96"/>
      <c r="N20" s="128">
        <f t="shared" si="8"/>
        <v>46023</v>
      </c>
      <c r="O20" s="128">
        <f t="shared" si="9"/>
        <v>46053</v>
      </c>
      <c r="P20" s="129">
        <f t="shared" si="10"/>
        <v>0.4</v>
      </c>
      <c r="Q20" s="98"/>
      <c r="R20" s="98"/>
      <c r="S20" s="98"/>
      <c r="T20" s="98"/>
      <c r="U20" s="98"/>
      <c r="V20" s="132"/>
      <c r="W20" s="100"/>
      <c r="X20" s="90">
        <f>IF(H10="ANO",0,IF(AND($F$5="NGAS",$H$5="dálkovod"),AA20,IF(AND($F$5="NGAS",$H$5="místní síť"),AD20,IF(AND($F$5="EON",$H$5="dálkovod"),AG20,AJ20))))</f>
        <v>353.88175999999999</v>
      </c>
      <c r="Y20" s="138">
        <f>IF(H10="ANO",0,IF(AND($F$5="NGAS",$H$5="dálkovod"),AB20,IF(AND($F$5="NGAS",$H$5="místní síť"),AE20,IF(AND($F$5="EON",$H$5="dálkovod"),AH20,AK20))))</f>
        <v>0</v>
      </c>
      <c r="Z20" s="523"/>
      <c r="AA20" s="611">
        <f t="shared" si="4"/>
        <v>353.88175999999999</v>
      </c>
      <c r="AB20" s="138">
        <f t="shared" si="14"/>
        <v>0</v>
      </c>
      <c r="AC20" s="516"/>
      <c r="AD20" s="611">
        <f t="shared" si="11"/>
        <v>426.96856000000002</v>
      </c>
      <c r="AE20" s="139">
        <f t="shared" si="15"/>
        <v>0</v>
      </c>
      <c r="AF20" s="133"/>
      <c r="AG20" s="611">
        <f t="shared" si="5"/>
        <v>407.90656000000001</v>
      </c>
      <c r="AH20" s="139">
        <f t="shared" si="12"/>
        <v>0</v>
      </c>
      <c r="AI20" s="140"/>
      <c r="AJ20" s="611">
        <f t="shared" si="6"/>
        <v>487.17185999999998</v>
      </c>
      <c r="AK20" s="139">
        <f t="shared" si="13"/>
        <v>0</v>
      </c>
      <c r="AM20" s="207">
        <f t="shared" si="2"/>
        <v>0</v>
      </c>
    </row>
    <row r="21" spans="1:39" s="47" customFormat="1" ht="15.6" x14ac:dyDescent="0.3">
      <c r="E21" s="45" t="s">
        <v>117</v>
      </c>
      <c r="F21" s="45">
        <f>IF($F$20&gt;3.8%,$F$19-$F$16,0)</f>
        <v>0</v>
      </c>
      <c r="G21" s="83"/>
      <c r="I21" s="107" t="s">
        <v>118</v>
      </c>
      <c r="J21" s="485">
        <f>IF(OR($C$15&gt;0,'ovládací prvky'!$C$6=3),0,'Výpočet ceny distribuce'!F24)</f>
        <v>0</v>
      </c>
      <c r="K21" s="96">
        <f t="shared" si="7"/>
        <v>519</v>
      </c>
      <c r="L21" s="96" t="str">
        <f t="shared" si="3"/>
        <v>do 200 000</v>
      </c>
      <c r="M21" s="96"/>
      <c r="N21" s="128">
        <f t="shared" si="8"/>
        <v>46023</v>
      </c>
      <c r="O21" s="128">
        <f t="shared" si="9"/>
        <v>46053</v>
      </c>
      <c r="P21" s="129">
        <f t="shared" si="10"/>
        <v>0.4</v>
      </c>
      <c r="Q21" s="98"/>
      <c r="R21" s="98"/>
      <c r="S21" s="98"/>
      <c r="T21" s="98"/>
      <c r="U21" s="98"/>
      <c r="V21" s="132"/>
      <c r="W21" s="100"/>
      <c r="X21" s="90">
        <f>IF(H10="ANO",0,IF(AND($F$5="NGAS",$H$5="dálkovod"),AA21,IF(AND($F$5="NGAS",$H$5="místní síť"),AD21,IF(AND($F$5="EON",$H$5="dálkovod"),AG21,AJ21))))</f>
        <v>353.88175999999999</v>
      </c>
      <c r="Y21" s="138">
        <f>IF(H10="ANO",0,IF(AND($F$5="NGAS",$H$5="dálkovod"),AB21,IF(AND($F$5="NGAS",$H$5="místní síť"),AE21,IF(AND($F$5="EON",$H$5="dálkovod"),AH21,AK21))))</f>
        <v>0</v>
      </c>
      <c r="Z21" s="523"/>
      <c r="AA21" s="611">
        <f t="shared" si="4"/>
        <v>353.88175999999999</v>
      </c>
      <c r="AB21" s="138">
        <f t="shared" si="14"/>
        <v>0</v>
      </c>
      <c r="AC21" s="516"/>
      <c r="AD21" s="611">
        <f t="shared" si="11"/>
        <v>426.96856000000002</v>
      </c>
      <c r="AE21" s="139">
        <f t="shared" si="15"/>
        <v>0</v>
      </c>
      <c r="AF21" s="133"/>
      <c r="AG21" s="611">
        <f t="shared" si="5"/>
        <v>407.90656000000001</v>
      </c>
      <c r="AH21" s="139">
        <f t="shared" si="12"/>
        <v>0</v>
      </c>
      <c r="AI21" s="140"/>
      <c r="AJ21" s="611">
        <f t="shared" si="6"/>
        <v>487.17185999999998</v>
      </c>
      <c r="AK21" s="139">
        <f t="shared" si="13"/>
        <v>0</v>
      </c>
      <c r="AM21" s="207">
        <f t="shared" si="2"/>
        <v>0</v>
      </c>
    </row>
    <row r="22" spans="1:39" s="47" customFormat="1" ht="15.6" x14ac:dyDescent="0.3">
      <c r="D22" s="141"/>
      <c r="E22" s="45" t="s">
        <v>119</v>
      </c>
      <c r="F22" s="45">
        <f>IF($F$20&gt;3.8%,$F$19-F14,0)</f>
        <v>0</v>
      </c>
      <c r="G22" s="83"/>
      <c r="I22" s="107" t="s">
        <v>120</v>
      </c>
      <c r="J22" s="485">
        <f>IF(OR($C$15&gt;0,'ovládací prvky'!$C$6=3),0,'Výpočet ceny distribuce'!F25)</f>
        <v>0</v>
      </c>
      <c r="K22" s="96">
        <f t="shared" si="7"/>
        <v>519</v>
      </c>
      <c r="L22" s="96" t="str">
        <f t="shared" si="3"/>
        <v>do 200 000</v>
      </c>
      <c r="M22" s="96"/>
      <c r="N22" s="128">
        <f t="shared" si="8"/>
        <v>46023</v>
      </c>
      <c r="O22" s="128">
        <f t="shared" si="9"/>
        <v>46053</v>
      </c>
      <c r="P22" s="129">
        <f t="shared" si="10"/>
        <v>0.4</v>
      </c>
      <c r="Q22" s="98"/>
      <c r="R22" s="98"/>
      <c r="S22" s="98"/>
      <c r="T22" s="98"/>
      <c r="U22" s="98"/>
      <c r="V22" s="132"/>
      <c r="W22" s="100"/>
      <c r="X22" s="90">
        <f>IF(H10="ANO",0,IF(AND($F$5="NGAS",$H$5="dálkovod"),AA22,IF(AND($F$5="NGAS",$H$5="místní síť"),AD22,IF(AND($F$5="EON",$H$5="dálkovod"),AG22,AJ22))))</f>
        <v>353.88175999999999</v>
      </c>
      <c r="Y22" s="138">
        <f>IF(H10="ANO",0,IF(AND($F$5="NGAS",$H$5="dálkovod"),AB22,IF(AND($F$5="NGAS",$H$5="místní síť"),AE22,IF(AND($F$5="EON",$H$5="dálkovod"),AH22,AK22))))</f>
        <v>0</v>
      </c>
      <c r="Z22" s="523"/>
      <c r="AA22" s="611">
        <f t="shared" si="4"/>
        <v>353.88175999999999</v>
      </c>
      <c r="AB22" s="138">
        <f t="shared" si="14"/>
        <v>0</v>
      </c>
      <c r="AC22" s="516"/>
      <c r="AD22" s="611">
        <f t="shared" si="11"/>
        <v>426.96856000000002</v>
      </c>
      <c r="AE22" s="139">
        <f t="shared" si="15"/>
        <v>0</v>
      </c>
      <c r="AF22" s="133"/>
      <c r="AG22" s="611">
        <f t="shared" si="5"/>
        <v>407.90656000000001</v>
      </c>
      <c r="AH22" s="139">
        <f t="shared" si="12"/>
        <v>0</v>
      </c>
      <c r="AI22" s="140"/>
      <c r="AJ22" s="611">
        <f t="shared" si="6"/>
        <v>487.17185999999998</v>
      </c>
      <c r="AK22" s="139">
        <f t="shared" si="13"/>
        <v>0</v>
      </c>
      <c r="AM22" s="207">
        <f t="shared" si="2"/>
        <v>0</v>
      </c>
    </row>
    <row r="23" spans="1:39" s="47" customFormat="1" ht="15.6" x14ac:dyDescent="0.3">
      <c r="D23" s="141"/>
      <c r="E23" s="45" t="s">
        <v>121</v>
      </c>
      <c r="F23" s="142" t="s">
        <v>141</v>
      </c>
      <c r="G23" s="46"/>
      <c r="I23" s="107" t="s">
        <v>123</v>
      </c>
      <c r="J23" s="485">
        <f>IF(OR($C$15&gt;0,'ovládací prvky'!$C$6=3),0,'Výpočet ceny distribuce'!F26)</f>
        <v>0</v>
      </c>
      <c r="K23" s="96">
        <f t="shared" si="7"/>
        <v>519</v>
      </c>
      <c r="L23" s="96" t="str">
        <f t="shared" si="3"/>
        <v>do 200 000</v>
      </c>
      <c r="M23" s="96"/>
      <c r="N23" s="128">
        <f t="shared" si="8"/>
        <v>46023</v>
      </c>
      <c r="O23" s="128">
        <f t="shared" si="9"/>
        <v>46053</v>
      </c>
      <c r="P23" s="129">
        <f t="shared" si="10"/>
        <v>0.4</v>
      </c>
      <c r="Q23" s="98"/>
      <c r="R23" s="98"/>
      <c r="S23" s="98"/>
      <c r="T23" s="98"/>
      <c r="U23" s="98"/>
      <c r="V23" s="132"/>
      <c r="W23" s="100"/>
      <c r="X23" s="90">
        <f>IF(H10="ANO",0,IF(AND($F$5="NGAS",$H$5="dálkovod"),AA23,IF(AND($F$5="NGAS",$H$5="místní síť"),AD23,IF(AND($F$5="EON",$H$5="dálkovod"),AG23,AJ23))))</f>
        <v>353.88175999999999</v>
      </c>
      <c r="Y23" s="138">
        <f>IF(H10="ANO",0,IF(AND($F$5="NGAS",$H$5="dálkovod"),AB23,IF(AND($F$5="NGAS",$H$5="místní síť"),AE23,IF(AND($F$5="EON",$H$5="dálkovod"),AH23,AK23))))</f>
        <v>0</v>
      </c>
      <c r="Z23" s="523"/>
      <c r="AA23" s="611">
        <f t="shared" si="4"/>
        <v>353.88175999999999</v>
      </c>
      <c r="AB23" s="138">
        <f t="shared" si="14"/>
        <v>0</v>
      </c>
      <c r="AC23" s="516"/>
      <c r="AD23" s="611">
        <f t="shared" si="11"/>
        <v>426.96856000000002</v>
      </c>
      <c r="AE23" s="139">
        <f t="shared" si="15"/>
        <v>0</v>
      </c>
      <c r="AF23" s="133"/>
      <c r="AG23" s="611">
        <f t="shared" si="5"/>
        <v>407.90656000000001</v>
      </c>
      <c r="AH23" s="139">
        <f t="shared" si="12"/>
        <v>0</v>
      </c>
      <c r="AI23" s="140"/>
      <c r="AJ23" s="611">
        <f t="shared" si="6"/>
        <v>487.17185999999998</v>
      </c>
      <c r="AK23" s="139">
        <f t="shared" si="13"/>
        <v>0</v>
      </c>
      <c r="AM23" s="207">
        <f t="shared" si="2"/>
        <v>0</v>
      </c>
    </row>
    <row r="24" spans="1:39" s="47" customFormat="1" ht="15.6" x14ac:dyDescent="0.3">
      <c r="D24" s="141"/>
      <c r="E24" s="46"/>
      <c r="F24" s="46"/>
      <c r="G24" s="46"/>
      <c r="I24" s="107" t="s">
        <v>124</v>
      </c>
      <c r="J24" s="485">
        <f>IF(OR($C$15&gt;0,'ovládací prvky'!$C$6=3),0,'Výpočet ceny distribuce'!F27)</f>
        <v>0</v>
      </c>
      <c r="K24" s="96">
        <f t="shared" si="7"/>
        <v>519</v>
      </c>
      <c r="L24" s="96" t="str">
        <f t="shared" si="3"/>
        <v>do 200 000</v>
      </c>
      <c r="M24" s="96"/>
      <c r="N24" s="128">
        <f t="shared" si="8"/>
        <v>46023</v>
      </c>
      <c r="O24" s="128">
        <f t="shared" si="9"/>
        <v>46053</v>
      </c>
      <c r="P24" s="129">
        <f t="shared" si="10"/>
        <v>0.4</v>
      </c>
      <c r="Q24" s="98"/>
      <c r="R24" s="98"/>
      <c r="S24" s="98"/>
      <c r="T24" s="98"/>
      <c r="U24" s="98"/>
      <c r="V24" s="132"/>
      <c r="W24" s="100"/>
      <c r="X24" s="90">
        <f>IF(H10="ANO",0,IF(AND($F$5="NGAS",$H$5="dálkovod"),AA24,IF(AND($F$5="NGAS",$H$5="místní síť"),AD24,IF(AND($F$5="EON",$H$5="dálkovod"),AG24,AJ24))))</f>
        <v>353.88175999999999</v>
      </c>
      <c r="Y24" s="138">
        <f>IF(H10="ANO",0,IF(AND($F$5="NGAS",$H$5="dálkovod"),AB24,IF(AND($F$5="NGAS",$H$5="místní síť"),AE24,IF(AND($F$5="EON",$H$5="dálkovod"),AH24,AK24))))</f>
        <v>0</v>
      </c>
      <c r="Z24" s="523"/>
      <c r="AA24" s="611">
        <f t="shared" si="4"/>
        <v>353.88175999999999</v>
      </c>
      <c r="AB24" s="138">
        <f t="shared" si="14"/>
        <v>0</v>
      </c>
      <c r="AC24" s="516"/>
      <c r="AD24" s="611">
        <f t="shared" si="11"/>
        <v>426.96856000000002</v>
      </c>
      <c r="AE24" s="139">
        <f t="shared" si="15"/>
        <v>0</v>
      </c>
      <c r="AF24" s="133"/>
      <c r="AG24" s="611">
        <f t="shared" si="5"/>
        <v>407.90656000000001</v>
      </c>
      <c r="AH24" s="139">
        <f t="shared" si="12"/>
        <v>0</v>
      </c>
      <c r="AI24" s="140"/>
      <c r="AJ24" s="611">
        <f t="shared" si="6"/>
        <v>487.17185999999998</v>
      </c>
      <c r="AK24" s="139">
        <f t="shared" si="13"/>
        <v>0</v>
      </c>
      <c r="AM24" s="207">
        <f t="shared" si="2"/>
        <v>0</v>
      </c>
    </row>
    <row r="25" spans="1:39" s="47" customFormat="1" ht="16.2" thickBot="1" x14ac:dyDescent="0.35">
      <c r="D25" s="141"/>
      <c r="E25" s="46"/>
      <c r="F25" s="46"/>
      <c r="G25" s="46"/>
      <c r="I25" s="143" t="s">
        <v>125</v>
      </c>
      <c r="J25" s="486">
        <f>IF(OR($C$15&gt;0,'ovládací prvky'!$C$6=3),0,'Výpočet ceny distribuce'!F28)</f>
        <v>0</v>
      </c>
      <c r="K25" s="144">
        <f t="shared" si="7"/>
        <v>519</v>
      </c>
      <c r="L25" s="144" t="str">
        <f t="shared" si="3"/>
        <v>do 200 000</v>
      </c>
      <c r="M25" s="144"/>
      <c r="N25" s="145">
        <f t="shared" si="8"/>
        <v>46023</v>
      </c>
      <c r="O25" s="146">
        <f t="shared" si="9"/>
        <v>46053</v>
      </c>
      <c r="P25" s="129">
        <f t="shared" si="10"/>
        <v>0.4</v>
      </c>
      <c r="Q25" s="147"/>
      <c r="R25" s="147"/>
      <c r="S25" s="147"/>
      <c r="T25" s="147"/>
      <c r="U25" s="147"/>
      <c r="V25" s="148"/>
      <c r="W25" s="149"/>
      <c r="X25" s="150">
        <f>IF(H10="ANO",0,IF(AND($F$5="NGAS",$H$5="dálkovod"),AA25,IF(AND($F$5="NGAS",$H$5="místní síť"),AD25,IF(AND($F$5="EON",$H$5="dálkovod"),AG25,AJ25))))</f>
        <v>353.88175999999999</v>
      </c>
      <c r="Y25" s="151">
        <f>IF(H10="ANO",0,IF(AND($F$5="NGAS",$H$5="dálkovod"),AB25,IF(AND($F$5="NGAS",$H$5="místní síť"),AE25,IF(AND($F$5="EON",$H$5="dálkovod"),AH25,AK25))))</f>
        <v>0</v>
      </c>
      <c r="Z25" s="152"/>
      <c r="AA25" s="611">
        <f t="shared" si="4"/>
        <v>353.88175999999999</v>
      </c>
      <c r="AB25" s="151">
        <f t="shared" si="14"/>
        <v>0</v>
      </c>
      <c r="AC25" s="517"/>
      <c r="AD25" s="611">
        <f t="shared" si="11"/>
        <v>426.96856000000002</v>
      </c>
      <c r="AE25" s="153">
        <f t="shared" si="15"/>
        <v>0</v>
      </c>
      <c r="AF25" s="510"/>
      <c r="AG25" s="611">
        <f t="shared" si="5"/>
        <v>407.90656000000001</v>
      </c>
      <c r="AH25" s="153">
        <f t="shared" si="12"/>
        <v>0</v>
      </c>
      <c r="AI25" s="154"/>
      <c r="AJ25" s="611">
        <f t="shared" si="6"/>
        <v>487.17185999999998</v>
      </c>
      <c r="AK25" s="153">
        <f t="shared" si="13"/>
        <v>0</v>
      </c>
      <c r="AM25" s="207">
        <f t="shared" si="2"/>
        <v>0</v>
      </c>
    </row>
    <row r="26" spans="1:39" s="47" customFormat="1" ht="18" customHeight="1" x14ac:dyDescent="0.3">
      <c r="D26" s="141"/>
      <c r="E26" s="46"/>
      <c r="F26" s="46"/>
      <c r="G26" s="747" t="s">
        <v>126</v>
      </c>
      <c r="H26" s="155">
        <f>IF(AND($F$18&gt;$N$26-1,$F$18&lt;$O$26+1),$J$26,0)</f>
        <v>0</v>
      </c>
      <c r="I26" s="72" t="s">
        <v>127</v>
      </c>
      <c r="J26" s="360">
        <f>'Výpočet ceny distribuce'!F29</f>
        <v>0</v>
      </c>
      <c r="K26" s="156">
        <f>IF(OR(MONTH($N26)=MONTH($F$7),MONTH($O26)=MONTH($G$7)),IF($F$11=0,IF(SUM($J$13:$J$25)+SUM($Q26:$U26)&lt;$E$56,$E$56,SUM($J$13:$J$25)+SUM($Q26:$U26)),IF($H$16+SUM($J$16:$J$25)+SUM($Q26:$U26)&lt;$E$56,$E$56,($H$16+SUM($J$16:$J$25)+SUM($Q26:$U26)))),0)</f>
        <v>519</v>
      </c>
      <c r="L26" s="156" t="str">
        <f t="shared" si="3"/>
        <v>do 200 000</v>
      </c>
      <c r="M26" s="156"/>
      <c r="N26" s="361">
        <f>'Výpočet ceny distribuce'!D31</f>
        <v>0</v>
      </c>
      <c r="O26" s="361">
        <f>'Výpočet ceny distribuce'!E31</f>
        <v>0</v>
      </c>
      <c r="P26" s="157">
        <f>VLOOKUP($F$6,$E$60:$I$71,5,FALSE)</f>
        <v>0.72</v>
      </c>
      <c r="Q26" s="598">
        <f>IF(OR(MONTH($N26)=MONTH($F$7),MONTH($O26)=MONTH($G$7)),$J$26,0)</f>
        <v>0</v>
      </c>
      <c r="R26" s="598">
        <f>IF(OR(MONTH($N27)=MONTH($F$7),MONTH($O27)=MONTH($G$7)),IF(AND($N$26&lt;=$O$27,$N$26&gt;=$N$27),$J$27,0),0)</f>
        <v>0</v>
      </c>
      <c r="S26" s="598">
        <f>IF(OR(MONTH($N28)=MONTH($F$7),MONTH($O28)=MONTH($G$7)),IF(AND($N$26&lt;=$O$28,$N$26&gt;=$N$28),$J$28,0),0)</f>
        <v>0</v>
      </c>
      <c r="T26" s="598">
        <f>IF(OR(MONTH($N29)=MONTH($F$7),MONTH($O29)=MONTH($G$7)),IF(AND($N$26&lt;=$O$29,$N$26&gt;=$N$29),$J$29,0),0)</f>
        <v>0</v>
      </c>
      <c r="U26" s="598">
        <f>IF(OR(MONTH($N30)=MONTH($F$7),MONTH($O30)=MONTH($G$7)),IF(AND($N$26&lt;=$O$30,$N$26&gt;=$N$30),$J$30,0),0)</f>
        <v>0</v>
      </c>
      <c r="V26" s="158">
        <f>IF(ROUND(IF(O26&gt;$G$7,$G$7-(IF($N26&lt;$F$7,$F$7,$N26))+1,O26-IF($N26&lt;$F$7,$F$7,$N26)+1)/VLOOKUP($F$6,$E$60:$F$71,2,FALSE)*P26,5)&lt;0,0,ROUND(IF(O26&gt;$G$7,$G$7-(IF($N26&lt;$F$7,$F$7,$N26))+1,O26-IF($N26&lt;$F$7,$F$7,$N26)+1)/VLOOKUP($F$6,$E$60:$F$71,2,FALSE)*P26,5))</f>
        <v>0</v>
      </c>
      <c r="W26" s="159">
        <f>IF(AND($F$5="NGAS",$H$5="dálkovod"),Z26,IF(AND($F$5="NGAS",$H$5="místní síť"),AC26,IF(AND($F$5="EON",$H$5="dálkovod"),AF26,AI26)))</f>
        <v>0</v>
      </c>
      <c r="X26" s="77">
        <f>IF(H10="ANO",0,IF(AND($F$5="NGAS",$H$5="dálkovod"),AA26,IF(AND($F$5="NGAS",$H$5="místní síť"),AD26,IF(AND($F$5="EON",$H$5="dálkovod"),AG26,AJ26))))</f>
        <v>0</v>
      </c>
      <c r="Y26" s="160">
        <f>IF(H10="ANO",0,IF(AND($F$5="NGAS",$H$5="dálkovod"),AB26,IF(AND($F$5="NGAS",$H$5="místní síť"),AE26,IF(AND($F$5="EON",$H$5="dálkovod"),AH26,AK26))))</f>
        <v>0</v>
      </c>
      <c r="Z26" s="523"/>
      <c r="AA26" s="615">
        <f>IF($V26=0,0,ROUND(IF($L26="&gt; 600 000",((($G$45+$I$45*LN(200000))*200000)+(($V$44*$U$44*$S$46)/1000*400000)+(($V$44*$U$44*$T$46)/1000*($K26-600000)))/$K26,IF($L26="&gt; 200 000",((($G$45+$I$45*LN(200000))*200000)+(($V$44*$U$44*$S$45)/1000*($K26-200000)))/$K26,$G$45+$I$45*LN($K26))),5))</f>
        <v>0</v>
      </c>
      <c r="AB26" s="160">
        <f>ROUND(AA26*V26*J26,2)</f>
        <v>0</v>
      </c>
      <c r="AC26" s="511"/>
      <c r="AD26" s="615">
        <f>IF($V26=0,0,ROUND(IF($L26="&gt; 600 000",((($L$45+$N$45*LN(200000))*200000)+(($V$44*$U$44*$S$51)/1000*400000)+(($V$44*$U$44*$T$51)/1000*($K26-600000)))/$K26,IF($L26="&gt; 200 000",((($L$45+$N$45*LN(200000))*200000)+(($V$44*$U$44*$S$50)/1000*($K26-200000)))/$K26,$L$45+$N$45*LN($K26))),5))</f>
        <v>0</v>
      </c>
      <c r="AE26" s="161">
        <f>ROUND(AD26*V26*J26,2)</f>
        <v>0</v>
      </c>
      <c r="AF26" s="511"/>
      <c r="AG26" s="615">
        <f>IF($V26=0,0,ROUND(IF($L26="&gt; 600 000",((($G$46+$I$46*LN(200000))*200000)+(($V$44*$U$44*$S$46)/1000*400000)+(($V$44*$U$44*$T$46)/1000*($K26-600000)))/$K26,IF($L26="&gt; 200 000",((($G$46+$I$46*LN(200000))*200000)+(($V$44*$U$44*$S$45)/1000*($K26-200000)))/$K26,$G$46+$I$46*LN($K26))),5))</f>
        <v>0</v>
      </c>
      <c r="AH26" s="161">
        <f>ROUND(AG26*V26*J26,2)</f>
        <v>0</v>
      </c>
      <c r="AI26" s="533"/>
      <c r="AJ26" s="615">
        <f>IF($V26=0,0,ROUND(IF($L26="&gt; 600 000",((($L$46+$N$46*LN(200000))*200000)+(($V$44*$U$44*$S$51)/1000*400000)+(($V$44*$U$44*$T$51)/1000*($K26-600000)))/$K26,IF($L26="&gt; 200 000",((($L$46+$N$46*LN(200000))*200000)+(($V$44*$U$44*$S$50)/1000*($K26-200000)))/$K26,$L$46+$N$46*LN($K26))),5))</f>
        <v>0</v>
      </c>
      <c r="AK26" s="160">
        <f>ROUND(AJ26*V26*J26,2)</f>
        <v>0</v>
      </c>
      <c r="AM26" s="207">
        <f t="shared" si="2"/>
        <v>0</v>
      </c>
    </row>
    <row r="27" spans="1:39" s="47" customFormat="1" ht="19.5" customHeight="1" x14ac:dyDescent="0.3">
      <c r="E27" s="46"/>
      <c r="F27" s="46"/>
      <c r="G27" s="747"/>
      <c r="H27" s="155">
        <f>IF(AND($F$18&gt;$N$27-1,$F$18&lt;$O$27+1),$J$27,0)</f>
        <v>0</v>
      </c>
      <c r="I27" s="107" t="s">
        <v>128</v>
      </c>
      <c r="J27" s="362">
        <f>'Výpočet ceny distribuce'!F32</f>
        <v>0</v>
      </c>
      <c r="K27" s="156">
        <f>IF(OR(MONTH($N27)=MONTH($F$7),MONTH($O27)=MONTH($G$7)),IF($F$11=0,IF(SUM($J$13:$J$25)+SUM($Q27:$U27)&lt;$E$56,$E$56,SUM($J$13:$J$25)+SUM($Q27:$U27)),IF($H$16+SUM($J$16:$J$25)+SUM($Q27:$U27)&lt;$E$56,$E$56,($H$16+SUM($J$16:$J$25)+SUM($Q27:$U27)))),0)</f>
        <v>519</v>
      </c>
      <c r="L27" s="96" t="str">
        <f t="shared" si="3"/>
        <v>do 200 000</v>
      </c>
      <c r="M27" s="162"/>
      <c r="N27" s="363">
        <f>'Výpočet ceny distribuce'!D34</f>
        <v>0</v>
      </c>
      <c r="O27" s="363">
        <f>'Výpočet ceny distribuce'!E34</f>
        <v>0</v>
      </c>
      <c r="P27" s="163">
        <f>VLOOKUP($F$6,$E$60:$I$71,5,FALSE)</f>
        <v>0.72</v>
      </c>
      <c r="Q27" s="599">
        <f>IF(OR(MONTH($N26)=MONTH($F$7),MONTH($O26)=MONTH($G$7)),IF(AND($N$27&lt;=$O$26,$N$27&gt;=$N$26),$J$26,0),0)</f>
        <v>0</v>
      </c>
      <c r="R27" s="599">
        <f>IF(OR(MONTH($N27)=MONTH($F$7),MONTH($O27)=MONTH($G$7)),$J$27,0)</f>
        <v>0</v>
      </c>
      <c r="S27" s="599">
        <f>IF(OR(MONTH($N28)=MONTH($F$7),MONTH($O28)=MONTH($G$7)),IF(AND($N$27&lt;=$O$28,$N$27&gt;=$N$28),$J$28,0),0)</f>
        <v>0</v>
      </c>
      <c r="T27" s="599">
        <f>IF(OR(MONTH($N29)=MONTH($F$7),MONTH($O29)=MONTH($G$7)),IF(AND($N$27&lt;=$O$29,$N$27&gt;=$N$29),$J$29,0),0)</f>
        <v>0</v>
      </c>
      <c r="U27" s="599">
        <f>IF(OR(MONTH($N30)=MONTH($F$7),MONTH($O30)=MONTH($G$7)),IF(AND($N$27&lt;=$O$30,$N$27&gt;=$N$30),$J$30,0),0)</f>
        <v>0</v>
      </c>
      <c r="V27" s="164">
        <f>IF(ROUND(IF(O27&gt;$G$7,$G$7-(IF($N27&lt;$F$7,$F$7,$N27))+1,O27-IF($N27&lt;$F$7,$F$7,$N27)+1)/VLOOKUP($F$6,$E$60:$F$71,2,FALSE)*P27,5)&lt;0,0,ROUND(IF(O27&gt;$G$7,$G$7-(IF($N27&lt;$F$7,$F$7,$N27))+1,O27-IF($N27&lt;$F$7,$F$7,$N27)+1)/VLOOKUP($F$6,$E$60:$F$71,2,FALSE)*P27,5))</f>
        <v>0</v>
      </c>
      <c r="W27" s="165">
        <f>IF(AND($F$5="NGAS",$H$5="dálkovod"),Z27,IF(AND($F$5="NGAS",$H$5="místní síť"),AC27,IF(AND($F$5="EON",$H$5="dálkovod"),AF27,AI27)))</f>
        <v>0</v>
      </c>
      <c r="X27" s="90">
        <f>IF(H10="ANO",0,IF(AND($F$5="NGAS",$H$5="dálkovod"),AA27,IF(AND($F$5="NGAS",$H$5="místní síť"),AD27,IF(AND($F$5="EON",$H$5="dálkovod"),AG27,AJ27))))</f>
        <v>0</v>
      </c>
      <c r="Y27" s="138">
        <f>IF(H10="ANO",0,IF(AND($F$5="NGAS",$H$5="dálkovod"),AB27,IF(AND($F$5="NGAS",$H$5="místní síť"),AE27,IF(AND($F$5="EON",$H$5="dálkovod"),AH27,AK27))))</f>
        <v>0</v>
      </c>
      <c r="Z27" s="524"/>
      <c r="AA27" s="613">
        <f>IF($V27=0,0,ROUND(IF($L27="&gt; 600 000",((($G$45+$I$45*LN(200000))*200000)+(($V$44*$U$44*$S$46)/1000*400000)+(($V$44*$U$44*$T$46)/1000*($K27-600000)))/$K27,IF($L27="&gt; 200 000",((($G$45+$I$45*LN(200000))*200000)+(($V$44*$U$44*$S$45)/1000*($K27-200000)))/$K27,$G$45+$I$45*LN($K27))),5))</f>
        <v>0</v>
      </c>
      <c r="AB27" s="525">
        <f>ROUND(AA27*V27*J27,2)</f>
        <v>0</v>
      </c>
      <c r="AC27" s="511"/>
      <c r="AD27" s="613">
        <f>IF($V27=0,0,ROUND(IF($L27="&gt; 600 000",((($L$45+$N$45*LN(200000))*200000)+(($V$44*$U$44*$S$51)/1000*400000)+(($V$44*$U$44*$T$51)/1000*($K27-600000)))/$K27,IF($L27="&gt; 200 000",((($L$45+$N$45*LN(200000))*200000)+(($V$44*$U$44*$S$50)/1000*($K27-200000)))/$K27,$L$45+$N$45*LN($K27))),5))</f>
        <v>0</v>
      </c>
      <c r="AE27" s="139">
        <f>ROUND(AD27*V27*J27,2)</f>
        <v>0</v>
      </c>
      <c r="AF27" s="511"/>
      <c r="AG27" s="613">
        <f>IF($V27=0,0,ROUND(IF($L27="&gt; 600 000",((($G$46+$I$46*LN(200000))*200000)+(($V$44*$U$44*$S$46)/1000*400000)+(($V$44*$U$44*$T$46)/1000*($K27-600000)))/$K27,IF($L27="&gt; 200 000",((($G$46+$I$46*LN(200000))*200000)+(($V$44*$U$44*$S$45)/1000*($K27-200000)))/$K27,$G$46+$I$46*LN($K27))),5))</f>
        <v>0</v>
      </c>
      <c r="AH27" s="139">
        <f>ROUND(AG27*V27*J27,2)</f>
        <v>0</v>
      </c>
      <c r="AI27" s="511"/>
      <c r="AJ27" s="613">
        <f>IF($V27=0,0,ROUND(IF($L27="&gt; 600 000",((($L$46+$N$46*LN(200000))*200000)+(($V$44*$U$44*$S$51)/1000*400000)+(($V$44*$U$44*$T$51)/1000*($K27-600000)))/$K27,IF($L27="&gt; 200 000",((($L$46+$N$46*LN(200000))*200000)+(($V$44*$U$44*$S$50)/1000*($K27-200000)))/$K27,$L$46+$N$46*LN($K27))),5))</f>
        <v>0</v>
      </c>
      <c r="AK27" s="138">
        <f>ROUND(AJ27*V27*J27,2)</f>
        <v>0</v>
      </c>
      <c r="AM27" s="207">
        <f t="shared" si="2"/>
        <v>0</v>
      </c>
    </row>
    <row r="28" spans="1:39" s="47" customFormat="1" ht="14.7" customHeight="1" x14ac:dyDescent="0.3">
      <c r="E28" s="748" t="s">
        <v>129</v>
      </c>
      <c r="F28" s="749"/>
      <c r="G28" s="747"/>
      <c r="H28" s="155">
        <f>IF(AND($F$18&gt;$N$28-1,$F$18&lt;$O$28+1),$J$28,0)</f>
        <v>0</v>
      </c>
      <c r="I28" s="107" t="s">
        <v>130</v>
      </c>
      <c r="J28" s="362">
        <f>'Výpočet ceny distribuce'!F35</f>
        <v>0</v>
      </c>
      <c r="K28" s="156">
        <f>IF(OR(MONTH($N28)=MONTH($F$7),MONTH($O28)=MONTH($G$7)),IF($F$11=0,IF(SUM($J$13:$J$25)+SUM($Q28:$U28)&lt;$E$56,$E$56,SUM($J$13:$J$25)+SUM($Q28:$U28)),IF($H$16+SUM($J$16:$J$25)+SUM($Q28:$U28)&lt;$E$56,$E$56,($H$16+SUM($J$16:$J$25)+SUM($Q28:$U28)))),0)</f>
        <v>519</v>
      </c>
      <c r="L28" s="96" t="str">
        <f t="shared" si="3"/>
        <v>do 200 000</v>
      </c>
      <c r="M28" s="96"/>
      <c r="N28" s="363">
        <f>'Výpočet ceny distribuce'!D37</f>
        <v>0</v>
      </c>
      <c r="O28" s="363">
        <f>'Výpočet ceny distribuce'!E37</f>
        <v>0</v>
      </c>
      <c r="P28" s="163">
        <f>VLOOKUP($F$6,$E$60:$I$71,5,FALSE)</f>
        <v>0.72</v>
      </c>
      <c r="Q28" s="599">
        <f>IF(OR(MONTH($N26)=MONTH($F$7),MONTH($O26)=MONTH($G$7)),IF(AND($N$28&lt;=$O$26,$N$28&gt;=$N$26),$J$26,0),0)</f>
        <v>0</v>
      </c>
      <c r="R28" s="599">
        <f>IF(OR(MONTH($N27)=MONTH($F$7),MONTH($O27)=MONTH($G$7)),IF(AND($N$28&lt;=$O$27,$N$28&gt;=$N$27),$J$27,0),0)</f>
        <v>0</v>
      </c>
      <c r="S28" s="599">
        <f>IF(OR(MONTH($N28)=MONTH($F$7),MONTH($O28)=MONTH($G$7)),$J$28,0)</f>
        <v>0</v>
      </c>
      <c r="T28" s="599">
        <f>IF(OR(MONTH($N29)=MONTH($F$7),MONTH($O29)=MONTH($G$7)),IF(AND($N$28&lt;=$O$29,$N$28&gt;=$N$29),$J$29,0),0)</f>
        <v>0</v>
      </c>
      <c r="U28" s="599">
        <f>IF(OR(MONTH($N30)=MONTH($F$7),MONTH($O30)=MONTH($G$7)),IF(AND($N$28&lt;=$O$30,$N$28&gt;=$N$30),$J$30,0),0)</f>
        <v>0</v>
      </c>
      <c r="V28" s="164">
        <f>IF(ROUND(IF(O28&gt;$G$7,$G$7-(IF($N28&lt;$F$7,$F$7,$N28))+1,O28-IF($N28&lt;$F$7,$F$7,$N28)+1)/VLOOKUP($F$6,$E$60:$F$71,2,FALSE)*P28,5)&lt;0,0,ROUND(IF(O28&gt;$G$7,$G$7-(IF($N28&lt;$F$7,$F$7,$N28))+1,O28-IF($N28&lt;$F$7,$F$7,$N28)+1)/VLOOKUP($F$6,$E$60:$F$71,2,FALSE)*P28,5))</f>
        <v>0</v>
      </c>
      <c r="W28" s="165">
        <f>IF(AND($F$5="NGAS",$H$5="dálkovod"),Z28,IF(AND($F$5="NGAS",$H$5="místní síť"),AC28,IF(AND($F$5="EON",$H$5="dálkovod"),AF28,AI28)))</f>
        <v>0</v>
      </c>
      <c r="X28" s="90">
        <f>IF(H10="ANO",0,IF(AND($F$5="NGAS",$H$5="dálkovod"),AA28,IF(AND($F$5="NGAS",$H$5="místní síť"),AD28,IF(AND($F$5="EON",$H$5="dálkovod"),AG28,AJ28))))</f>
        <v>0</v>
      </c>
      <c r="Y28" s="138">
        <f>IF(H10="ANO",0,IF(AND($F$5="NGAS",$H$5="dálkovod"),AB28,IF(AND($F$5="NGAS",$H$5="místní síť"),AE28,IF(AND($F$5="EON",$H$5="dálkovod"),AH28,AK28))))</f>
        <v>0</v>
      </c>
      <c r="Z28" s="524"/>
      <c r="AA28" s="613">
        <f>IF($V28=0,0,ROUND(IF($L28="&gt; 600 000",((($G$45+$I$45*LN(200000))*200000)+(($V$44*$U$44*$S$46)/1000*400000)+(($V$44*$U$44*$T$46)/1000*($K28-600000)))/$K28,IF($L28="&gt; 200 000",((($G$45+$I$45*LN(200000))*200000)+(($V$44*$U$44*$S$45)/1000*($K28-200000)))/$K28,$G$45+$I$45*LN($K28))),5))</f>
        <v>0</v>
      </c>
      <c r="AB28" s="525">
        <f>ROUND(AA28*V28*J28,2)</f>
        <v>0</v>
      </c>
      <c r="AC28" s="511"/>
      <c r="AD28" s="613">
        <f>IF($V28=0,0,ROUND(IF($L28="&gt; 600 000",((($L$45+$N$45*LN(200000))*200000)+(($V$44*$U$44*$S$51)/1000*400000)+(($V$44*$U$44*$T$51)/1000*($K28-600000)))/$K28,IF($L28="&gt; 200 000",((($L$45+$N$45*LN(200000))*200000)+(($V$44*$U$44*$S$50)/1000*($K28-200000)))/$K28,$L$45+$N$45*LN($K28))),5))</f>
        <v>0</v>
      </c>
      <c r="AE28" s="139">
        <f>ROUND(AD28*V28*J28,2)</f>
        <v>0</v>
      </c>
      <c r="AF28" s="511"/>
      <c r="AG28" s="613">
        <f>IF($V28=0,0,ROUND(IF($L28="&gt; 600 000",((($G$46+$I$46*LN(200000))*200000)+(($V$44*$U$44*$S$46)/1000*400000)+(($V$44*$U$44*$T$46)/1000*($K28-600000)))/$K28,IF($L28="&gt; 200 000",((($G$46+$I$46*LN(200000))*200000)+(($V$44*$U$44*$S$45)/1000*($K28-200000)))/$K28,$G$46+$I$46*LN($K28))),5))</f>
        <v>0</v>
      </c>
      <c r="AH28" s="139">
        <f>ROUND(AG28*V28*J28,2)</f>
        <v>0</v>
      </c>
      <c r="AI28" s="511"/>
      <c r="AJ28" s="613">
        <f>IF($V28=0,0,ROUND(IF($L28="&gt; 600 000",((($L$46+$N$46*LN(200000))*200000)+(($V$44*$U$44*$S$51)/1000*400000)+(($V$44*$U$44*$T$51)/1000*($K28-600000)))/$K28,IF($L28="&gt; 200 000",((($L$46+$N$46*LN(200000))*200000)+(($V$44*$U$44*$S$50)/1000*($K28-200000)))/$K28,$L$46+$N$46*LN($K28))),5))</f>
        <v>0</v>
      </c>
      <c r="AK28" s="138">
        <f>ROUND(AJ28*V28*J28,2)</f>
        <v>0</v>
      </c>
      <c r="AM28" s="207">
        <f t="shared" si="2"/>
        <v>0</v>
      </c>
    </row>
    <row r="29" spans="1:39" s="47" customFormat="1" ht="15.6" x14ac:dyDescent="0.3">
      <c r="E29" s="106" t="s">
        <v>100</v>
      </c>
      <c r="F29" s="96">
        <f>H37</f>
        <v>0</v>
      </c>
      <c r="G29" s="747"/>
      <c r="H29" s="155">
        <f>IF(AND($F$18&gt;$N$29-1,$F$18&lt;$O$29+1),$J$29,0)</f>
        <v>0</v>
      </c>
      <c r="I29" s="107" t="s">
        <v>131</v>
      </c>
      <c r="J29" s="362">
        <f>'Výpočet ceny distribuce'!F38</f>
        <v>0</v>
      </c>
      <c r="K29" s="156">
        <f>IF(OR(MONTH($N29)=MONTH($F$7),MONTH($O29)=MONTH($G$7)),IF($F$11=0,IF(SUM($J$13:$J$25)+SUM($Q29:$U29)&lt;$E$56,$E$56,SUM($J$13:$J$25)+SUM($Q29:$U29)),IF($H$16+SUM($J$16:$J$25)+SUM($Q29:$U29)&lt;$E$56,$E$56,($H$16+SUM($J$16:$J$25)+SUM($Q29:$U29)))),0)</f>
        <v>519</v>
      </c>
      <c r="L29" s="96" t="str">
        <f t="shared" si="3"/>
        <v>do 200 000</v>
      </c>
      <c r="M29" s="162"/>
      <c r="N29" s="363">
        <f>'Výpočet ceny distribuce'!D40</f>
        <v>0</v>
      </c>
      <c r="O29" s="363">
        <f>'Výpočet ceny distribuce'!E40</f>
        <v>0</v>
      </c>
      <c r="P29" s="163">
        <f>VLOOKUP($F$6,$E$60:$I$71,5,FALSE)</f>
        <v>0.72</v>
      </c>
      <c r="Q29" s="599">
        <f>IF(OR(MONTH($N26)=MONTH($F$7),MONTH($O26)=MONTH($G$7)),IF(AND($N$29&lt;=$O$26,$N$29&gt;=$N$26),$J$26,0),0)</f>
        <v>0</v>
      </c>
      <c r="R29" s="599">
        <f>IF(OR(MONTH($N27)=MONTH($F$7),MONTH($O27)=MONTH($G$7)),IF(AND($N$29&lt;=$O$27,$N$29&gt;=$N$27),$J$27,0),0)</f>
        <v>0</v>
      </c>
      <c r="S29" s="599">
        <f>IF(OR(MONTH($N28)=MONTH($F$7),MONTH($O28)=MONTH($G$7)),IF(AND($N$29&lt;=$O$28,$N$29&gt;=$N$28),$J$28,0),0)</f>
        <v>0</v>
      </c>
      <c r="T29" s="599">
        <f>IF(OR(MONTH($N29)=MONTH($F$7),MONTH($O29)=MONTH($G$7)),$J$29,0)</f>
        <v>0</v>
      </c>
      <c r="U29" s="599">
        <f>IF(OR(MONTH($N30)=MONTH($F$7),MONTH($O30)=MONTH($G$7)),IF(AND($N$29&lt;=$O$30,$N$29&gt;=$N$30),$J$30,0),0)</f>
        <v>0</v>
      </c>
      <c r="V29" s="164">
        <f>IF(ROUND(IF(O29&gt;$G$7,$G$7-(IF($N29&lt;$F$7,$F$7,$N29))+1,O29-IF($N29&lt;$F$7,$F$7,$N29)+1)/VLOOKUP($F$6,$E$60:$F$71,2,FALSE)*P29,5)&lt;0,0,ROUND(IF(O29&gt;$G$7,$G$7-(IF($N29&lt;$F$7,$F$7,$N29))+1,O29-IF($N29&lt;$F$7,$F$7,$N29)+1)/VLOOKUP($F$6,$E$60:$F$71,2,FALSE)*P29,5))</f>
        <v>0</v>
      </c>
      <c r="W29" s="165">
        <f>IF(AND($F$5="NGAS",$H$5="dálkovod"),Z29,IF(AND($F$5="NGAS",$H$5="místní síť"),AC29,IF(AND($F$5="EON",$H$5="dálkovod"),AF29,AI29)))</f>
        <v>0</v>
      </c>
      <c r="X29" s="90">
        <f>IF(H10="ANO",0,IF(AND($F$5="NGAS",$H$5="dálkovod"),AA29,IF(AND($F$5="NGAS",$H$5="místní síť"),AD29,IF(AND($F$5="EON",$H$5="dálkovod"),AG29,AJ29))))</f>
        <v>0</v>
      </c>
      <c r="Y29" s="138">
        <f>IF(H10="ANO",0,IF(AND($F$5="NGAS",$H$5="dálkovod"),AB29,IF(AND($F$5="NGAS",$H$5="místní síť"),AE29,IF(AND($F$5="EON",$H$5="dálkovod"),AH29,AK29))))</f>
        <v>0</v>
      </c>
      <c r="Z29" s="524"/>
      <c r="AA29" s="613">
        <f>IF($V29=0,0,ROUND(IF($L29="&gt; 600 000",((($G$45+$I$45*LN(200000))*200000)+(($V$44*$U$44*$S$46)/1000*400000)+(($V$44*$U$44*$T$46)/1000*($K29-600000)))/$K29,IF($L29="&gt; 200 000",((($G$45+$I$45*LN(200000))*200000)+(($V$44*$U$44*$S$45)/1000*($K29-200000)))/$K29,$G$45+$I$45*LN($K29))),5))</f>
        <v>0</v>
      </c>
      <c r="AB29" s="525">
        <f>ROUND(AA29*V29*J29,2)</f>
        <v>0</v>
      </c>
      <c r="AC29" s="511"/>
      <c r="AD29" s="613">
        <f>IF($V29=0,0,ROUND(IF($L29="&gt; 600 000",((($L$45+$N$45*LN(200000))*200000)+(($V$44*$U$44*$S$51)/1000*400000)+(($V$44*$U$44*$T$51)/1000*($K29-600000)))/$K29,IF($L29="&gt; 200 000",((($L$45+$N$45*LN(200000))*200000)+(($V$44*$U$44*$S$50)/1000*($K29-200000)))/$K29,$L$45+$N$45*LN($K29))),5))</f>
        <v>0</v>
      </c>
      <c r="AE29" s="139">
        <f>ROUND(AD29*V29*J29,2)</f>
        <v>0</v>
      </c>
      <c r="AF29" s="511"/>
      <c r="AG29" s="613">
        <f>IF($V29=0,0,ROUND(IF($L29="&gt; 600 000",((($G$46+$I$46*LN(200000))*200000)+(($V$44*$U$44*$S$46)/1000*400000)+(($V$44*$U$44*$T$46)/1000*($K29-600000)))/$K29,IF($L29="&gt; 200 000",((($G$46+$I$46*LN(200000))*200000)+(($V$44*$U$44*$S$45)/1000*($K29-200000)))/$K29,$G$46+$I$46*LN($K29))),5))</f>
        <v>0</v>
      </c>
      <c r="AH29" s="139">
        <f>ROUND(AG29*V29*J29,2)</f>
        <v>0</v>
      </c>
      <c r="AI29" s="511"/>
      <c r="AJ29" s="613">
        <f>IF($V29=0,0,ROUND(IF($L29="&gt; 600 000",((($L$46+$N$46*LN(200000))*200000)+(($V$44*$U$44*$S$51)/1000*400000)+(($V$44*$U$44*$T$51)/1000*($K29-600000)))/$K29,IF($L29="&gt; 200 000",((($L$46+$N$46*LN(200000))*200000)+(($V$44*$U$44*$S$50)/1000*($K29-200000)))/$K29,$L$46+$N$46*LN($K29))),5))</f>
        <v>0</v>
      </c>
      <c r="AK29" s="138">
        <f>ROUND(AJ29*V29*J29,2)</f>
        <v>0</v>
      </c>
      <c r="AM29" s="207">
        <f t="shared" si="2"/>
        <v>0</v>
      </c>
    </row>
    <row r="30" spans="1:39" s="47" customFormat="1" ht="16.2" thickBot="1" x14ac:dyDescent="0.35">
      <c r="E30" s="45" t="s">
        <v>103</v>
      </c>
      <c r="F30" s="45">
        <f>$F$29/100*3.8</f>
        <v>0</v>
      </c>
      <c r="G30" s="747"/>
      <c r="H30" s="155">
        <f>IF(AND($F$18&gt;$N$30-1,$F$18&lt;$O$30+1),$J$30,0)</f>
        <v>0</v>
      </c>
      <c r="I30" s="112" t="s">
        <v>132</v>
      </c>
      <c r="J30" s="364">
        <f>'Výpočet ceny distribuce'!F41</f>
        <v>0</v>
      </c>
      <c r="K30" s="156">
        <f>IF(OR(MONTH($N30)=MONTH($F$7),MONTH($O30)=MONTH($G$7)),IF($F$11=0,IF(SUM($J$13:$J$25)+SUM($Q30:$U30)&lt;$E$56,$E$56,SUM($J$13:$J$25)+SUM($Q30:$U30)),IF($H$16+SUM($J$16:$J$25)+SUM($Q30:$U30)&lt;$E$56,$E$56,($H$16+SUM($J$16:$J$25)+SUM($Q30:$U30)))),0)</f>
        <v>519</v>
      </c>
      <c r="L30" s="113" t="str">
        <f t="shared" si="3"/>
        <v>do 200 000</v>
      </c>
      <c r="M30" s="113"/>
      <c r="N30" s="365">
        <f>'Výpočet ceny distribuce'!D43</f>
        <v>0</v>
      </c>
      <c r="O30" s="366">
        <f>'Výpočet ceny distribuce'!E43</f>
        <v>0</v>
      </c>
      <c r="P30" s="166">
        <f>VLOOKUP($F$6,$E$60:$I$71,5,FALSE)</f>
        <v>0.72</v>
      </c>
      <c r="Q30" s="600">
        <f>IF(OR(MONTH($N26)=MONTH($F$7),MONTH($O26)=MONTH($G$7)),IF(AND($N$30&lt;=$O$26,$N$30&gt;=$N$26),$J$26,0),0)</f>
        <v>0</v>
      </c>
      <c r="R30" s="600">
        <f>IF(OR(MONTH($N27)=MONTH($F$7),MONTH($O27)=MONTH($G$7)),IF(AND($N$30&lt;=$O$27,$N$30&gt;=$N$27),$J$27,0),0)</f>
        <v>0</v>
      </c>
      <c r="S30" s="600">
        <f>IF(OR(MONTH($N28)=MONTH($F$7),MONTH($O28)=MONTH($G$7)),IF(AND($N$30&lt;=$O$28,$N$30&gt;=$N$28),$J$28,0),0)</f>
        <v>0</v>
      </c>
      <c r="T30" s="600">
        <f>IF(OR(MONTH($N29)=MONTH($F$7),MONTH($O29)=MONTH($G$7)),IF(AND($N$30&lt;=$O$29,$N$30&gt;=$N$29),$J$29,0),0)</f>
        <v>0</v>
      </c>
      <c r="U30" s="600">
        <f>IF(OR(MONTH($N30)=MONTH($F$7),MONTH($O30)=MONTH($G$7)),$J$30,0)</f>
        <v>0</v>
      </c>
      <c r="V30" s="167">
        <f>IF(ROUND(IF(O30&gt;$G$7,$G$7-(IF($N30&lt;$F$7,$F$7,$N30))+1,O30-IF($N30&lt;$F$7,$F$7,$N30)+1)/VLOOKUP($F$6,$E$60:$F$71,2,FALSE)*P30,5)&lt;0,0,ROUND(IF(O30&gt;$G$7,$G$7-(IF($N30&lt;$F$7,$F$7,$N30))+1,O30-IF($N30&lt;$F$7,$F$7,$N30)+1)/VLOOKUP($F$6,$E$60:$F$71,2,FALSE)*P30,5))</f>
        <v>0</v>
      </c>
      <c r="W30" s="168">
        <f>IF(H10="ANO",0,IF(AND($F$5="NGAS",$H$5="dálkovod"),Z30,IF(AND($F$5="NGAS",$H$5="místní síť"),AC30,IF(AND($F$5="EON",$H$5="dálkovod"),AF30,AI30))))</f>
        <v>0</v>
      </c>
      <c r="X30" s="118">
        <f t="shared" si="0"/>
        <v>0</v>
      </c>
      <c r="Y30" s="169">
        <f>IF(H10="ANO",0,IF(AND($F$5="NGAS",$H$5="dálkovod"),AB30,IF(AND($F$5="NGAS",$H$5="místní síť"),AE30,IF(AND($F$5="EON",$H$5="dálkovod"),AH30,AK30))))</f>
        <v>0</v>
      </c>
      <c r="Z30" s="523"/>
      <c r="AA30" s="616">
        <f>IF($V30=0,0,ROUND(IF($L30="&gt; 600 000",((($G$45+$I$45*LN(200000))*200000)+(($V$44*$U$44*$S$46)/1000*400000)+(($V$44*$U$44*$T$46)/1000*($K30-600000)))/$K30,IF($L30="&gt; 200 000",((($G$45+$I$45*LN(200000))*200000)+(($V$44*$U$44*$S$45)/1000*($K30-200000)))/$K30,$G$45+$I$45*LN($K30))),5))</f>
        <v>0</v>
      </c>
      <c r="AB30" s="169">
        <f>ROUND(AA30*V30*J30,2)</f>
        <v>0</v>
      </c>
      <c r="AC30" s="532"/>
      <c r="AD30" s="616">
        <f>IF($V30=0,0,ROUND(IF($L30="&gt; 600 000",((($L$45+$N$45*LN(200000))*200000)+(($V$44*$U$44*$S$51)/1000*400000)+(($V$44*$U$44*$T$51)/1000*($K30-600000)))/$K30,IF($L30="&gt; 200 000",((($L$45+$N$45*LN(200000))*200000)+(($V$44*$U$44*$S$50)/1000*($K30-200000)))/$K30,$L$45+$N$45*LN($K30))),5))</f>
        <v>0</v>
      </c>
      <c r="AE30" s="153">
        <f>ROUND(AD30*V30*J30,2)</f>
        <v>0</v>
      </c>
      <c r="AF30" s="532"/>
      <c r="AG30" s="616">
        <f>IF($V30=0,0,ROUND(IF($L30="&gt; 600 000",((($G$46+$I$46*LN(200000))*200000)+(($V$44*$U$44*$S$46)/1000*400000)+(($V$44*$U$44*$T$46)/1000*($K30-600000)))/$K30,IF($L30="&gt; 200 000",((($G$46+$I$46*LN(200000))*200000)+(($V$44*$U$44*$S$45)/1000*($K30-200000)))/$K30,$G$46+$I$46*LN($K30))),5))</f>
        <v>0</v>
      </c>
      <c r="AH30" s="153">
        <f>ROUND(AG30*V30*J30,2)</f>
        <v>0</v>
      </c>
      <c r="AI30" s="532"/>
      <c r="AJ30" s="616">
        <f>IF($V30=0,0,ROUND(IF($L30="&gt; 600 000",((($L$46+$N$46*LN(200000))*200000)+(($V$44*$U$44*$S$51)/1000*400000)+(($V$44*$U$44*$T$51)/1000*($K30-600000)))/$K30,IF($L30="&gt; 200 000",((($L$46+$N$46*LN(200000))*200000)+(($V$44*$U$44*$S$50)/1000*($K30-200000)))/$K30,$L$46+$N$46*LN($K30))),5))</f>
        <v>0</v>
      </c>
      <c r="AK30" s="151">
        <f>ROUND(AJ30*V30*J30,2)</f>
        <v>0</v>
      </c>
      <c r="AL30" s="170"/>
      <c r="AM30" s="207">
        <f t="shared" si="2"/>
        <v>0</v>
      </c>
    </row>
    <row r="31" spans="1:39" s="47" customFormat="1" ht="16.2" thickBot="1" x14ac:dyDescent="0.35">
      <c r="E31" s="45" t="s">
        <v>106</v>
      </c>
      <c r="F31" s="124">
        <f>$F$29+$F$30</f>
        <v>0</v>
      </c>
      <c r="H31" s="46"/>
      <c r="I31" s="171" t="s">
        <v>38</v>
      </c>
      <c r="J31" s="463">
        <f>IF(AND(H10="ANO",$F$7&lt;DATE(2022,7,1)),0,IF(AND($F$18&gt;$F$7-1,$F$18&lt;$G$7+1),$F$22,0))</f>
        <v>0</v>
      </c>
      <c r="K31" s="172">
        <f>IF((SUM(J13:J25)+(SUM(H26:H30)-J14))&lt;$E$56,$E$56,(SUM(J13:J25)+(SUM(H26:H30)-J14)))</f>
        <v>519</v>
      </c>
      <c r="L31" s="172"/>
      <c r="M31" s="172" t="str">
        <f>IF($H$10="ANO","do 200 000",IF((K31-$J$14)&gt;600000,"&gt; 600 000",IF((K31-$J$14)&gt;200000,"&gt; 200 000","do 200 000")))</f>
        <v>do 200 000</v>
      </c>
      <c r="N31" s="173"/>
      <c r="O31" s="174"/>
      <c r="P31" s="175">
        <f>VLOOKUP($F$6,$E$60:$G$71,3,FALSE)</f>
        <v>1.43</v>
      </c>
      <c r="Q31" s="176"/>
      <c r="R31" s="176"/>
      <c r="S31" s="176"/>
      <c r="T31" s="176"/>
      <c r="U31" s="176"/>
      <c r="V31" s="177"/>
      <c r="W31" s="178">
        <f>IF(AND($F$5="NGAS",$H$5="dálkovod"),$Z$31,IF(AND($F$5="NGAS",$H$5="místní síť"),$AC$31,IF(AND($F$5="EON",$H$5="dálkovod"),$AF$31,$AI$31)))</f>
        <v>0</v>
      </c>
      <c r="X31" s="179" t="s">
        <v>133</v>
      </c>
      <c r="Y31" s="169">
        <f t="shared" si="1"/>
        <v>0</v>
      </c>
      <c r="Z31" s="534">
        <f>IF($J$31=0,0,ROUND(IF($M31="&gt; 600 000",((($G$45+$I$45*LN($K31))*200000)+(($V$44*$U$44*$S$46)/1000*400000)+(($V$44*$U$44*$T$46)/1000*($K31-600000)))/$K31,IF($M31="&gt; 200 000",((($G$45+$I$45*LN($K31))*200000)+(($V$44*$U$44*$S$45)/1000*($K31-200000)))/$K31,$G$45+$I$45*LN($K31))),5))</f>
        <v>0</v>
      </c>
      <c r="AA31" s="509" t="s">
        <v>133</v>
      </c>
      <c r="AB31" s="526">
        <f>IF(F23="ano","",IF(F14="","",ROUND(J31*Z31*P31,2)))</f>
        <v>0</v>
      </c>
      <c r="AC31" s="535">
        <f>IF($J$31=0,0,ROUND(IF($M31="&gt; 600 000",((($L$45+$N$45*LN($K31))*200000)+(($V$44*$U$44*$S$51)/1000*400000)+(($V$44*$U$44*$T$51)/1000*($K31-600000)))/$K31,IF($M31="&gt; 200 000",((($L$45+$N$45*LN($K31))*200000)+(($V$44*$U$44*$S$50)/1000*($K31-200000)))/$K31,$L$45+$N$45*LN($K31))),5))</f>
        <v>0</v>
      </c>
      <c r="AD31" s="509" t="s">
        <v>133</v>
      </c>
      <c r="AE31" s="536">
        <f>IF(F23="ano","",IF(F14="","",ROUND(J31*AC31*P31,2)))</f>
        <v>0</v>
      </c>
      <c r="AF31" s="534">
        <f>IF($J$31=0,0,ROUND(IF($M31="&gt; 600 000",((($G$46+$I$46*LN($K31))*200000)+(($V$44*$U$44*$S$46)/1000*400000)+(($V$44*$U$44*$T$46)/1000*($K31-600000)))/$K31,IF($M31="&gt; 200 000",((($G$46+$I$46*LN($K31))*200000)+(($V$44*$U$44*$S$45)/1000*($K31-200000)))/$K31,$G$46+$I$46*LN($K31))),5))</f>
        <v>0</v>
      </c>
      <c r="AG31" s="509" t="s">
        <v>133</v>
      </c>
      <c r="AH31" s="536">
        <f>IF(F23="ano","",IF(F14="","",ROUND(J31*AF31*P31,2)))</f>
        <v>0</v>
      </c>
      <c r="AI31" s="534">
        <f>IF($J$31=0,0,ROUND(IF($M31="&gt; 600 000",((($L$46+$N$46*LN($K31))*200000)+(($V$44*$U$44*$S$51)/1000*400000)+(($V$44*$U$44*$T$51)/1000*($K31-600000)))/$K31,IF($M31="&gt; 200 000",((($L$46+$N$46*LN($K31))*200000)+(($V$44*$U$44*$S$50)/1000*($K31-200000)))/$K31,$L$46+$N$46*LN($K31))),5))</f>
        <v>0</v>
      </c>
      <c r="AJ31" s="509" t="s">
        <v>133</v>
      </c>
      <c r="AK31" s="536">
        <f>IF(F23="ano","",IF(F14="","",ROUND(J31*AI31*P31,2)))</f>
        <v>0</v>
      </c>
      <c r="AL31" s="83"/>
      <c r="AM31" s="207">
        <f t="shared" si="2"/>
        <v>0</v>
      </c>
    </row>
    <row r="32" spans="1:39" s="47" customFormat="1" ht="16.2" thickBot="1" x14ac:dyDescent="0.35">
      <c r="E32" s="45" t="s">
        <v>109</v>
      </c>
      <c r="F32" s="131">
        <f>F31/24</f>
        <v>0</v>
      </c>
      <c r="I32" s="180" t="s">
        <v>134</v>
      </c>
      <c r="J32" s="181">
        <f>IF(F10="ANO",0,$J$11)</f>
        <v>0</v>
      </c>
      <c r="K32" s="182"/>
      <c r="L32" s="182"/>
      <c r="M32" s="182"/>
      <c r="N32" s="183"/>
      <c r="O32" s="183"/>
      <c r="P32" s="184"/>
      <c r="Q32" s="185"/>
      <c r="R32" s="185"/>
      <c r="S32" s="185"/>
      <c r="T32" s="185"/>
      <c r="U32" s="185"/>
      <c r="V32" s="186"/>
      <c r="W32" s="187" t="s">
        <v>135</v>
      </c>
      <c r="X32" s="188">
        <f>$F$53</f>
        <v>4.0600000000000002E-3</v>
      </c>
      <c r="Y32" s="189">
        <f>IF(AND($F$5="NGAS",$H$5="dálkovod"),AB32,IF(AND($F$5="NGAS",$H$5="místní síť"),AE32,IF(AND($F$5="EON",$H$5="dálkovod"),AH32,AK32)))</f>
        <v>0</v>
      </c>
      <c r="Z32" s="527" t="s">
        <v>135</v>
      </c>
      <c r="AA32" s="190">
        <f>$F$53</f>
        <v>4.0600000000000002E-3</v>
      </c>
      <c r="AB32" s="191">
        <f>ROUND($J$32*AA32,2)</f>
        <v>0</v>
      </c>
      <c r="AC32" s="187" t="s">
        <v>135</v>
      </c>
      <c r="AD32" s="190">
        <f>$F$53</f>
        <v>4.0600000000000002E-3</v>
      </c>
      <c r="AE32" s="192">
        <f>ROUND($J$32*AD32,2)</f>
        <v>0</v>
      </c>
      <c r="AF32" s="187" t="s">
        <v>135</v>
      </c>
      <c r="AG32" s="190">
        <f>$F$53</f>
        <v>4.0600000000000002E-3</v>
      </c>
      <c r="AH32" s="192">
        <f>ROUND($J$32*AG32,2)</f>
        <v>0</v>
      </c>
      <c r="AI32" s="187" t="s">
        <v>135</v>
      </c>
      <c r="AJ32" s="190">
        <f>$F$53</f>
        <v>4.0600000000000002E-3</v>
      </c>
      <c r="AK32" s="193">
        <f>ROUND($J$32*AJ32,2)</f>
        <v>0</v>
      </c>
      <c r="AM32" s="207">
        <f t="shared" si="2"/>
        <v>0</v>
      </c>
    </row>
    <row r="33" spans="1:37" s="47" customFormat="1" ht="15.6" x14ac:dyDescent="0.3">
      <c r="E33" s="135" t="s">
        <v>136</v>
      </c>
      <c r="F33" s="398">
        <f>'Výpočet ceny distribuce'!$E$46</f>
        <v>0</v>
      </c>
      <c r="I33" s="240" t="s">
        <v>137</v>
      </c>
      <c r="J33" s="241"/>
      <c r="K33" s="241"/>
      <c r="L33" s="241"/>
      <c r="M33" s="241"/>
      <c r="N33" s="241"/>
      <c r="O33" s="241"/>
      <c r="P33" s="241"/>
      <c r="Q33" s="241"/>
      <c r="R33" s="241"/>
      <c r="S33" s="241"/>
      <c r="T33" s="241"/>
      <c r="U33" s="241"/>
      <c r="V33" s="242"/>
      <c r="W33" s="732">
        <f>IF(AND($F$5="NGAS",$H$5="dálkovod"),AB33,IF(AND($F$5="NGAS",$H$5="místní síť"),AE33,IF(AND($F$5="EON",$H$5="dálkovod"),AH33,AK33)))</f>
        <v>0</v>
      </c>
      <c r="X33" s="733"/>
      <c r="Y33" s="734"/>
      <c r="Z33" s="528"/>
      <c r="AA33" s="194"/>
      <c r="AB33" s="529">
        <f>IF($H$10="ANO",AB11+AB32,SUM(AB11:AB32))</f>
        <v>0</v>
      </c>
      <c r="AC33" s="518"/>
      <c r="AD33" s="194"/>
      <c r="AE33" s="195">
        <f>IF(H10="ANO",AE11+AE32,SUM(AE11:AE32))</f>
        <v>0</v>
      </c>
      <c r="AF33" s="196"/>
      <c r="AG33" s="197"/>
      <c r="AH33" s="198">
        <f>IF(H10="ANO",AH11+AH32,SUM(AH11:AH32))</f>
        <v>0</v>
      </c>
      <c r="AI33" s="199"/>
      <c r="AJ33" s="199"/>
      <c r="AK33" s="200">
        <f>IF(H10="ANO",AK11+AK32,SUM(AK11:AK32))</f>
        <v>0</v>
      </c>
    </row>
    <row r="34" spans="1:37" s="47" customFormat="1" ht="16.2" thickBot="1" x14ac:dyDescent="0.35">
      <c r="E34" s="45" t="s">
        <v>116</v>
      </c>
      <c r="F34" s="399" t="str">
        <f>IF(OR($F$29=0,$F$29=""),"",($F$33/$F$29)-100%)</f>
        <v/>
      </c>
      <c r="I34" s="235" t="s">
        <v>138</v>
      </c>
      <c r="J34" s="236"/>
      <c r="K34" s="236"/>
      <c r="L34" s="236"/>
      <c r="M34" s="236"/>
      <c r="N34" s="236"/>
      <c r="O34" s="236"/>
      <c r="P34" s="236"/>
      <c r="Q34" s="236"/>
      <c r="R34" s="236"/>
      <c r="S34" s="236"/>
      <c r="T34" s="236"/>
      <c r="U34" s="236"/>
      <c r="V34" s="237"/>
      <c r="W34" s="752">
        <f>IF(AND($F$5="NGAS",$H$5="dálkovod"),AB34,IF(AND($F$5="NGAS",$H$5="místní síť"),AE34,IF(AND($F$5="EON",$H$5="dálkovod"),AH34,AK34)))</f>
        <v>0</v>
      </c>
      <c r="X34" s="753"/>
      <c r="Y34" s="754"/>
      <c r="Z34" s="530"/>
      <c r="AA34" s="201"/>
      <c r="AB34" s="531">
        <f>AB33*1.21</f>
        <v>0</v>
      </c>
      <c r="AC34" s="519"/>
      <c r="AD34" s="201"/>
      <c r="AE34" s="202">
        <f>AE33*1.21</f>
        <v>0</v>
      </c>
      <c r="AF34" s="203"/>
      <c r="AG34" s="203"/>
      <c r="AH34" s="204">
        <f>AH33*1.21</f>
        <v>0</v>
      </c>
      <c r="AI34" s="205"/>
      <c r="AJ34" s="205"/>
      <c r="AK34" s="206">
        <f>AK33*1.21</f>
        <v>0</v>
      </c>
    </row>
    <row r="35" spans="1:37" s="47" customFormat="1" ht="15" thickBot="1" x14ac:dyDescent="0.35">
      <c r="E35" s="45" t="s">
        <v>139</v>
      </c>
      <c r="F35" s="45">
        <f>IF($F$34&gt;3.8%,$F$33-$F$31,0)</f>
        <v>0</v>
      </c>
      <c r="I35" s="46"/>
      <c r="J35" s="46"/>
      <c r="P35" s="35"/>
      <c r="Q35" s="46"/>
      <c r="R35" s="46"/>
      <c r="S35" s="46"/>
      <c r="T35" s="46"/>
      <c r="U35" s="46"/>
      <c r="V35" s="46"/>
      <c r="W35" s="46"/>
      <c r="X35" s="46"/>
      <c r="Y35" s="46"/>
      <c r="Z35" s="46"/>
      <c r="AA35" s="46"/>
      <c r="AB35" s="46"/>
      <c r="AC35" s="46"/>
      <c r="AD35" s="46"/>
      <c r="AE35" s="207"/>
      <c r="AF35" s="46"/>
      <c r="AG35" s="46"/>
      <c r="AH35" s="46"/>
      <c r="AI35" s="46"/>
      <c r="AJ35" s="46"/>
      <c r="AK35" s="46"/>
    </row>
    <row r="36" spans="1:37" s="47" customFormat="1" ht="28.8" x14ac:dyDescent="0.3">
      <c r="E36" s="45" t="s">
        <v>119</v>
      </c>
      <c r="F36" s="45">
        <f>IF($F$34&gt;3.8%,$F$33-F29,0)</f>
        <v>0</v>
      </c>
      <c r="G36" s="46"/>
      <c r="H36" s="46"/>
      <c r="I36" s="208" t="s">
        <v>140</v>
      </c>
      <c r="J36" s="74" t="s">
        <v>19</v>
      </c>
      <c r="K36" s="74" t="s">
        <v>79</v>
      </c>
      <c r="L36" s="209" t="s">
        <v>87</v>
      </c>
      <c r="M36" s="210" t="s">
        <v>88</v>
      </c>
      <c r="N36" s="58" t="s">
        <v>388</v>
      </c>
      <c r="O36" s="74" t="s">
        <v>19</v>
      </c>
      <c r="P36" s="210" t="s">
        <v>88</v>
      </c>
      <c r="Q36" s="46"/>
      <c r="R36" s="46"/>
      <c r="S36" s="46"/>
      <c r="T36" s="46"/>
      <c r="U36" s="46"/>
      <c r="V36" s="35"/>
      <c r="W36" s="46"/>
      <c r="X36" s="46"/>
      <c r="Y36" s="46"/>
      <c r="Z36" s="46"/>
      <c r="AA36" s="46"/>
      <c r="AB36" s="46"/>
      <c r="AC36" s="46"/>
      <c r="AD36" s="46"/>
      <c r="AE36" s="46"/>
      <c r="AF36" s="46"/>
      <c r="AG36" s="46"/>
      <c r="AH36" s="46"/>
      <c r="AI36" s="46"/>
      <c r="AJ36" s="46"/>
      <c r="AK36" s="46"/>
    </row>
    <row r="37" spans="1:37" s="47" customFormat="1" ht="43.2" customHeight="1" x14ac:dyDescent="0.3">
      <c r="E37" s="45" t="s">
        <v>121</v>
      </c>
      <c r="F37" s="142" t="s">
        <v>141</v>
      </c>
      <c r="G37" s="84" t="s">
        <v>94</v>
      </c>
      <c r="H37" s="84">
        <f>IF($F$11="0",J37+O38,(J37+O38)/(1-$F$11))</f>
        <v>0</v>
      </c>
      <c r="I37" s="107" t="s">
        <v>98</v>
      </c>
      <c r="J37" s="398">
        <f>'Výpočet ceny distribuce'!F16</f>
        <v>0</v>
      </c>
      <c r="K37" s="45"/>
      <c r="L37" s="45">
        <f>E54</f>
        <v>1.2999999999999999E-2</v>
      </c>
      <c r="M37" s="476">
        <f>ROUND(L37*J37/12/$F$8*$F$9,2)</f>
        <v>0</v>
      </c>
      <c r="N37" s="107" t="s">
        <v>101</v>
      </c>
      <c r="O37" s="398">
        <f>'Výpočet ceny distribuce'!F18</f>
        <v>0</v>
      </c>
      <c r="P37" s="45">
        <f>ROUND(L37*O37/12/$F$8*$F$9,2)</f>
        <v>0</v>
      </c>
      <c r="Q37" s="46"/>
      <c r="R37" s="46"/>
      <c r="S37" s="46"/>
      <c r="T37" s="46"/>
      <c r="U37" s="46"/>
      <c r="V37" s="46"/>
      <c r="W37" s="46"/>
      <c r="X37" s="46"/>
      <c r="Y37" s="46"/>
      <c r="Z37" s="46"/>
      <c r="AA37" s="46"/>
      <c r="AB37" s="46"/>
      <c r="AC37" s="46"/>
      <c r="AD37" s="46"/>
      <c r="AE37" s="46"/>
      <c r="AF37" s="46"/>
      <c r="AG37" s="46"/>
      <c r="AH37" s="46"/>
      <c r="AI37" s="46"/>
      <c r="AJ37" s="46"/>
      <c r="AK37" s="46"/>
    </row>
    <row r="38" spans="1:37" s="47" customFormat="1" ht="15" thickBot="1" x14ac:dyDescent="0.35">
      <c r="E38" s="211"/>
      <c r="F38" s="46"/>
      <c r="G38" s="46"/>
      <c r="H38" s="46"/>
      <c r="I38" s="143" t="s">
        <v>38</v>
      </c>
      <c r="J38" s="212">
        <f>F36</f>
        <v>0</v>
      </c>
      <c r="K38" s="212">
        <f>VLOOKUP($F$6,$E$60:$G$71,3,FALSE)</f>
        <v>1.43</v>
      </c>
      <c r="L38" s="212">
        <f>E54</f>
        <v>1.2999999999999999E-2</v>
      </c>
      <c r="M38" s="606">
        <f>IF(F37="ano",0,ROUND(J38*L38*K38,2))</f>
        <v>0</v>
      </c>
      <c r="N38" s="95" t="s">
        <v>33</v>
      </c>
      <c r="O38" s="398">
        <f>'Výpočet ceny distribuce'!F19</f>
        <v>0</v>
      </c>
      <c r="P38" s="45">
        <f>ROUND(L38*O38*$P$16/$F$8*$F$9,2)</f>
        <v>0</v>
      </c>
      <c r="Q38" s="46"/>
      <c r="R38" s="46"/>
      <c r="S38" s="46"/>
      <c r="T38" s="46"/>
      <c r="U38" s="46"/>
      <c r="V38" s="46"/>
      <c r="W38" s="46"/>
      <c r="X38" s="46"/>
      <c r="Y38" s="46"/>
      <c r="Z38" s="46"/>
      <c r="AA38" s="46"/>
      <c r="AB38" s="46"/>
      <c r="AC38" s="46"/>
      <c r="AD38" s="46"/>
      <c r="AE38" s="46"/>
      <c r="AF38" s="46"/>
      <c r="AG38" s="46"/>
      <c r="AH38" s="46"/>
      <c r="AI38" s="46"/>
      <c r="AJ38" s="46"/>
      <c r="AK38" s="46"/>
    </row>
    <row r="39" spans="1:37" s="47" customFormat="1" ht="28.8" x14ac:dyDescent="0.3">
      <c r="E39" s="211"/>
      <c r="F39" s="46"/>
      <c r="G39" s="46"/>
      <c r="H39" s="46"/>
      <c r="I39" s="213" t="s">
        <v>137</v>
      </c>
      <c r="J39" s="214"/>
      <c r="K39" s="214"/>
      <c r="L39" s="215"/>
      <c r="M39" s="607">
        <f>M38+M37+P37</f>
        <v>0</v>
      </c>
      <c r="N39" s="58" t="s">
        <v>386</v>
      </c>
      <c r="O39" s="398">
        <f>'Výpočet ceny distribuce'!F17</f>
        <v>0</v>
      </c>
      <c r="P39" s="476">
        <f>ROUND(O39*$L$37/12/$F$8*$F$9,2)</f>
        <v>0</v>
      </c>
      <c r="Q39" s="46"/>
      <c r="R39" s="46"/>
      <c r="S39" s="46"/>
      <c r="T39" s="46"/>
      <c r="U39" s="46"/>
      <c r="V39" s="46"/>
      <c r="W39" s="46"/>
      <c r="X39" s="216"/>
      <c r="Y39" s="216"/>
      <c r="Z39" s="216"/>
      <c r="AA39" s="216"/>
      <c r="AB39" s="216"/>
      <c r="AC39" s="216"/>
      <c r="AD39" s="216"/>
      <c r="AE39" s="216"/>
      <c r="AF39" s="216"/>
      <c r="AG39" s="216"/>
      <c r="AH39" s="216"/>
      <c r="AI39" s="46"/>
      <c r="AJ39" s="46"/>
      <c r="AK39" s="46"/>
    </row>
    <row r="40" spans="1:37" s="47" customFormat="1" ht="29.4" thickBot="1" x14ac:dyDescent="0.35">
      <c r="E40" s="46"/>
      <c r="F40" s="46"/>
      <c r="G40" s="46"/>
      <c r="H40" s="46"/>
      <c r="I40" s="217" t="s">
        <v>142</v>
      </c>
      <c r="J40" s="116"/>
      <c r="K40" s="116"/>
      <c r="L40" s="114"/>
      <c r="M40" s="218">
        <f>M39*1.21</f>
        <v>0</v>
      </c>
      <c r="N40" s="58" t="s">
        <v>387</v>
      </c>
      <c r="O40" s="477">
        <v>100</v>
      </c>
      <c r="P40" s="45">
        <f>ROUND(L37*O40/12/$F$8*$F$9,2)</f>
        <v>0.11</v>
      </c>
      <c r="Q40" s="46"/>
      <c r="R40" s="46"/>
      <c r="S40" s="46"/>
      <c r="T40" s="46"/>
      <c r="U40" s="46"/>
      <c r="V40" s="46"/>
      <c r="W40" s="46"/>
      <c r="X40" s="216"/>
      <c r="Y40" s="216"/>
      <c r="Z40" s="216"/>
      <c r="AA40" s="216"/>
      <c r="AB40" s="216"/>
      <c r="AC40" s="216"/>
      <c r="AD40" s="216"/>
      <c r="AE40" s="216"/>
      <c r="AF40" s="216"/>
      <c r="AG40" s="216"/>
      <c r="AH40" s="216"/>
      <c r="AI40" s="46"/>
      <c r="AJ40" s="46"/>
      <c r="AK40" s="46"/>
    </row>
    <row r="41" spans="1:37" s="219" customFormat="1" x14ac:dyDescent="0.3">
      <c r="A41" s="763"/>
      <c r="B41" s="763"/>
      <c r="C41" s="763"/>
      <c r="D41" s="763"/>
      <c r="E41" s="763"/>
      <c r="F41" s="763"/>
      <c r="G41" s="763"/>
      <c r="H41" s="763"/>
      <c r="I41" s="763"/>
      <c r="J41" s="763"/>
      <c r="K41" s="763"/>
      <c r="L41" s="763"/>
      <c r="M41" s="763"/>
      <c r="N41" s="763"/>
      <c r="O41" s="763"/>
      <c r="P41" s="763"/>
      <c r="Q41" s="763"/>
      <c r="R41" s="763"/>
      <c r="S41" s="763"/>
      <c r="T41" s="763"/>
      <c r="U41" s="763"/>
      <c r="V41" s="763"/>
      <c r="W41" s="763"/>
      <c r="X41" s="763"/>
      <c r="Y41" s="763"/>
      <c r="Z41" s="220"/>
      <c r="AA41" s="221"/>
      <c r="AB41" s="221"/>
      <c r="AC41" s="221"/>
      <c r="AD41" s="221"/>
      <c r="AE41" s="221"/>
      <c r="AF41" s="221"/>
      <c r="AG41" s="221"/>
      <c r="AH41" s="221"/>
      <c r="AI41" s="221"/>
      <c r="AJ41" s="221"/>
      <c r="AK41" s="221"/>
    </row>
    <row r="42" spans="1:37" s="47" customFormat="1" ht="72" x14ac:dyDescent="0.3">
      <c r="B42" s="46"/>
      <c r="C42" s="46"/>
      <c r="D42" s="45" t="s">
        <v>143</v>
      </c>
      <c r="E42" s="755" t="s">
        <v>2</v>
      </c>
      <c r="F42" s="756"/>
      <c r="G42" s="756"/>
      <c r="H42" s="756"/>
      <c r="I42" s="757"/>
      <c r="J42" s="755" t="s">
        <v>3</v>
      </c>
      <c r="K42" s="756"/>
      <c r="L42" s="756"/>
      <c r="M42" s="756"/>
      <c r="N42" s="756"/>
      <c r="O42" s="238"/>
      <c r="P42" s="239"/>
      <c r="Q42" s="46"/>
      <c r="R42" s="46"/>
      <c r="S42" s="46"/>
      <c r="T42" s="46"/>
      <c r="U42" s="46"/>
      <c r="V42" s="46"/>
      <c r="W42" s="46"/>
      <c r="X42" s="46"/>
      <c r="Y42" s="46"/>
      <c r="Z42" s="46"/>
      <c r="AA42" s="46"/>
      <c r="AB42" s="46"/>
      <c r="AC42" s="46"/>
      <c r="AD42" s="46"/>
      <c r="AE42" s="46"/>
      <c r="AF42" s="46"/>
      <c r="AG42" s="46"/>
      <c r="AH42" s="46"/>
      <c r="AI42" s="46"/>
      <c r="AJ42" s="46"/>
      <c r="AK42" s="46"/>
    </row>
    <row r="43" spans="1:37" s="47" customFormat="1" ht="72" x14ac:dyDescent="0.3">
      <c r="B43" s="46"/>
      <c r="C43" s="46"/>
      <c r="D43" s="605">
        <v>46023</v>
      </c>
      <c r="E43" s="758" t="s">
        <v>144</v>
      </c>
      <c r="F43" s="759"/>
      <c r="G43" s="760" t="s">
        <v>400</v>
      </c>
      <c r="H43" s="761"/>
      <c r="I43" s="762"/>
      <c r="J43" s="758" t="s">
        <v>144</v>
      </c>
      <c r="K43" s="759"/>
      <c r="L43" s="760" t="s">
        <v>400</v>
      </c>
      <c r="M43" s="761"/>
      <c r="N43" s="762"/>
      <c r="O43" s="46"/>
      <c r="P43" s="46"/>
      <c r="Q43" s="504" t="s">
        <v>401</v>
      </c>
      <c r="R43" s="505" t="s">
        <v>145</v>
      </c>
      <c r="S43" s="45" t="s">
        <v>398</v>
      </c>
      <c r="T43" s="45" t="s">
        <v>399</v>
      </c>
      <c r="U43" s="45" t="s">
        <v>396</v>
      </c>
      <c r="V43" s="538" t="s">
        <v>167</v>
      </c>
      <c r="W43" s="46"/>
      <c r="Y43" s="46"/>
      <c r="Z43" s="46"/>
      <c r="AA43" s="46"/>
      <c r="AB43" s="46"/>
    </row>
    <row r="44" spans="1:37" s="47" customFormat="1" ht="15" customHeight="1" x14ac:dyDescent="0.3">
      <c r="B44" s="46"/>
      <c r="C44" s="46"/>
      <c r="D44" s="88" t="s">
        <v>146</v>
      </c>
      <c r="E44" s="88" t="s">
        <v>0</v>
      </c>
      <c r="F44" s="88" t="s">
        <v>147</v>
      </c>
      <c r="G44" s="222" t="s">
        <v>148</v>
      </c>
      <c r="H44" s="88" t="s">
        <v>149</v>
      </c>
      <c r="I44" s="222" t="s">
        <v>150</v>
      </c>
      <c r="J44" s="88" t="s">
        <v>0</v>
      </c>
      <c r="K44" s="88" t="s">
        <v>147</v>
      </c>
      <c r="L44" s="222" t="s">
        <v>148</v>
      </c>
      <c r="M44" s="88" t="s">
        <v>149</v>
      </c>
      <c r="N44" s="222" t="s">
        <v>150</v>
      </c>
      <c r="O44" s="46"/>
      <c r="P44" s="46"/>
      <c r="Q44" s="277" t="s">
        <v>151</v>
      </c>
      <c r="R44" s="277" t="s">
        <v>152</v>
      </c>
      <c r="S44" s="591" t="s">
        <v>402</v>
      </c>
      <c r="T44" s="592" t="s">
        <v>402</v>
      </c>
      <c r="U44" s="593">
        <v>10.69</v>
      </c>
      <c r="V44" s="608">
        <v>6529.36</v>
      </c>
      <c r="W44" s="46"/>
      <c r="X44" s="46"/>
      <c r="Y44" s="46"/>
      <c r="Z44" s="46"/>
      <c r="AA44" s="46"/>
      <c r="AB44" s="46"/>
    </row>
    <row r="45" spans="1:37" s="47" customFormat="1" ht="43.2" customHeight="1" x14ac:dyDescent="0.3">
      <c r="B45" s="46"/>
      <c r="C45" s="58" t="s">
        <v>41</v>
      </c>
      <c r="D45" s="88" t="s">
        <v>53</v>
      </c>
      <c r="E45" s="593">
        <v>28.24</v>
      </c>
      <c r="F45" s="135">
        <f t="shared" ref="F45:F51" si="16">E45/1000</f>
        <v>2.8239999999999998E-2</v>
      </c>
      <c r="G45" s="603">
        <v>532.32860000000005</v>
      </c>
      <c r="H45" s="589">
        <f>ROUND(G45*1.05,4)</f>
        <v>558.94500000000005</v>
      </c>
      <c r="I45" s="603">
        <v>-28.5428</v>
      </c>
      <c r="J45" s="593">
        <v>74.739999999999995</v>
      </c>
      <c r="K45" s="590">
        <f t="shared" ref="K45:K50" si="17">J45/1000</f>
        <v>7.4740000000000001E-2</v>
      </c>
      <c r="L45" s="603">
        <v>605.41539999999998</v>
      </c>
      <c r="M45" s="589">
        <f>ROUND(L45*1.05,4)</f>
        <v>635.68619999999999</v>
      </c>
      <c r="N45" s="603">
        <v>-28.5428</v>
      </c>
      <c r="O45" s="46"/>
      <c r="P45" s="216">
        <f>L45+N45*LN($K13)</f>
        <v>426.96855784357263</v>
      </c>
      <c r="Q45" s="135" t="s">
        <v>153</v>
      </c>
      <c r="R45" s="506" t="s">
        <v>414</v>
      </c>
      <c r="S45" s="593">
        <v>1.6</v>
      </c>
      <c r="T45" s="591" t="s">
        <v>402</v>
      </c>
      <c r="U45" s="591" t="s">
        <v>402</v>
      </c>
      <c r="V45" s="594"/>
      <c r="W45" s="46"/>
      <c r="X45" s="46"/>
      <c r="Y45" s="46"/>
      <c r="Z45" s="46"/>
      <c r="AA45" s="46"/>
      <c r="AB45" s="46"/>
    </row>
    <row r="46" spans="1:37" s="47" customFormat="1" ht="86.4" x14ac:dyDescent="0.3">
      <c r="B46" s="46"/>
      <c r="C46" s="58" t="s">
        <v>185</v>
      </c>
      <c r="D46" s="88" t="s">
        <v>154</v>
      </c>
      <c r="E46" s="593">
        <v>37.07</v>
      </c>
      <c r="F46" s="135">
        <f t="shared" si="16"/>
        <v>3.7069999999999999E-2</v>
      </c>
      <c r="G46" s="603">
        <v>449.0147</v>
      </c>
      <c r="H46" s="589">
        <f>ROUND(G46*1.05,4)</f>
        <v>471.46539999999999</v>
      </c>
      <c r="I46" s="603">
        <v>-6.5753000000000004</v>
      </c>
      <c r="J46" s="593">
        <v>133.47</v>
      </c>
      <c r="K46" s="590">
        <f t="shared" si="17"/>
        <v>0.13347000000000001</v>
      </c>
      <c r="L46" s="603">
        <v>528.28</v>
      </c>
      <c r="M46" s="589">
        <f>ROUND(L46*1.05,4)</f>
        <v>554.69399999999996</v>
      </c>
      <c r="N46" s="603">
        <v>-6.5753000000000004</v>
      </c>
      <c r="O46" s="46"/>
      <c r="P46" s="46"/>
      <c r="Q46" s="135" t="s">
        <v>155</v>
      </c>
      <c r="R46" s="507" t="s">
        <v>415</v>
      </c>
      <c r="S46" s="593">
        <v>1.6</v>
      </c>
      <c r="T46" s="593">
        <v>1.43</v>
      </c>
      <c r="U46" s="591" t="s">
        <v>402</v>
      </c>
      <c r="V46" s="594"/>
      <c r="W46" s="46"/>
      <c r="X46" s="46"/>
      <c r="Y46" s="46"/>
      <c r="Z46" s="46"/>
      <c r="AA46" s="46"/>
      <c r="AB46" s="46"/>
    </row>
    <row r="47" spans="1:37" s="47" customFormat="1" x14ac:dyDescent="0.3">
      <c r="B47" s="46"/>
      <c r="C47" s="46"/>
      <c r="D47" s="106" t="s">
        <v>156</v>
      </c>
      <c r="E47" s="593">
        <v>65.540000000000006</v>
      </c>
      <c r="F47" s="135">
        <f t="shared" si="16"/>
        <v>6.5540000000000001E-2</v>
      </c>
      <c r="G47" s="46"/>
      <c r="H47" s="46"/>
      <c r="I47" s="106" t="s">
        <v>156</v>
      </c>
      <c r="J47" s="593">
        <v>164.19</v>
      </c>
      <c r="K47" s="223">
        <f t="shared" si="17"/>
        <v>0.16419</v>
      </c>
      <c r="L47" s="46"/>
      <c r="M47" s="46"/>
      <c r="N47" s="46"/>
      <c r="O47" s="46"/>
      <c r="P47" s="46"/>
      <c r="Q47" s="46"/>
      <c r="R47" s="46"/>
      <c r="S47" s="46"/>
      <c r="T47" s="46"/>
      <c r="U47" s="46"/>
      <c r="V47" s="46"/>
      <c r="W47" s="46"/>
      <c r="X47" s="46"/>
      <c r="Y47" s="46"/>
      <c r="Z47" s="46"/>
      <c r="AA47" s="46"/>
      <c r="AB47" s="46"/>
    </row>
    <row r="48" spans="1:37" s="47" customFormat="1" ht="72" x14ac:dyDescent="0.3">
      <c r="B48" s="46"/>
      <c r="C48" s="46"/>
      <c r="D48" s="106" t="s">
        <v>157</v>
      </c>
      <c r="E48" s="593">
        <v>73.23</v>
      </c>
      <c r="F48" s="135">
        <f t="shared" si="16"/>
        <v>7.3230000000000003E-2</v>
      </c>
      <c r="G48" s="46"/>
      <c r="H48" s="46"/>
      <c r="I48" s="106" t="s">
        <v>157</v>
      </c>
      <c r="J48" s="593">
        <v>250.79</v>
      </c>
      <c r="K48" s="223">
        <f t="shared" si="17"/>
        <v>0.25079000000000001</v>
      </c>
      <c r="L48" s="46"/>
      <c r="M48" s="46"/>
      <c r="N48" s="46"/>
      <c r="O48" s="46"/>
      <c r="P48" s="46"/>
      <c r="Q48" s="504" t="s">
        <v>401</v>
      </c>
      <c r="R48" s="505" t="s">
        <v>161</v>
      </c>
      <c r="S48" s="45" t="s">
        <v>397</v>
      </c>
      <c r="T48" s="45" t="s">
        <v>399</v>
      </c>
      <c r="U48" s="46"/>
      <c r="V48" s="46"/>
      <c r="W48" s="46"/>
      <c r="X48" s="46"/>
      <c r="Y48" s="46"/>
      <c r="Z48" s="46"/>
      <c r="AA48" s="46"/>
      <c r="AB48" s="46"/>
    </row>
    <row r="49" spans="2:37" s="47" customFormat="1" ht="43.2" x14ac:dyDescent="0.3">
      <c r="B49" s="46"/>
      <c r="C49" s="750" t="s">
        <v>158</v>
      </c>
      <c r="D49" s="106" t="s">
        <v>42</v>
      </c>
      <c r="E49" s="593">
        <v>14.69</v>
      </c>
      <c r="F49" s="135">
        <f t="shared" si="16"/>
        <v>1.469E-2</v>
      </c>
      <c r="G49" s="46"/>
      <c r="H49" s="88" t="s">
        <v>53</v>
      </c>
      <c r="I49" s="106" t="s">
        <v>159</v>
      </c>
      <c r="J49" s="539">
        <f>E45</f>
        <v>28.24</v>
      </c>
      <c r="K49" s="135">
        <f t="shared" si="17"/>
        <v>2.8239999999999998E-2</v>
      </c>
      <c r="L49" s="46"/>
      <c r="M49" s="46"/>
      <c r="N49" s="46"/>
      <c r="O49" s="46"/>
      <c r="P49" s="46"/>
      <c r="Q49" s="135" t="s">
        <v>151</v>
      </c>
      <c r="R49" s="277" t="s">
        <v>164</v>
      </c>
      <c r="S49" s="45" t="s">
        <v>402</v>
      </c>
      <c r="T49" s="45" t="s">
        <v>402</v>
      </c>
      <c r="U49" s="46"/>
      <c r="V49" s="46"/>
      <c r="W49" s="46"/>
      <c r="X49" s="46"/>
      <c r="Y49" s="46"/>
      <c r="Z49" s="46"/>
      <c r="AA49" s="46"/>
      <c r="AB49" s="46"/>
    </row>
    <row r="50" spans="2:37" s="47" customFormat="1" ht="57.6" x14ac:dyDescent="0.3">
      <c r="B50" s="46"/>
      <c r="C50" s="750"/>
      <c r="D50" s="106" t="s">
        <v>160</v>
      </c>
      <c r="E50" s="593">
        <v>11.23</v>
      </c>
      <c r="F50" s="135">
        <f t="shared" si="16"/>
        <v>1.123E-2</v>
      </c>
      <c r="G50" s="46"/>
      <c r="H50" s="88" t="s">
        <v>154</v>
      </c>
      <c r="I50" s="106" t="s">
        <v>159</v>
      </c>
      <c r="J50" s="539">
        <f>E46</f>
        <v>37.07</v>
      </c>
      <c r="K50" s="135">
        <f t="shared" si="17"/>
        <v>3.7069999999999999E-2</v>
      </c>
      <c r="L50" s="46"/>
      <c r="M50" s="46"/>
      <c r="N50" s="46"/>
      <c r="O50" s="46"/>
      <c r="P50" s="46"/>
      <c r="Q50" s="135" t="s">
        <v>153</v>
      </c>
      <c r="R50" s="506" t="s">
        <v>416</v>
      </c>
      <c r="S50" s="593">
        <v>2.48</v>
      </c>
      <c r="T50" s="591" t="s">
        <v>402</v>
      </c>
      <c r="U50" s="46"/>
      <c r="V50" s="46"/>
      <c r="W50" s="46"/>
      <c r="X50" s="46"/>
      <c r="Y50" s="46"/>
      <c r="Z50" s="46"/>
      <c r="AA50" s="46"/>
    </row>
    <row r="51" spans="2:37" s="47" customFormat="1" ht="86.4" x14ac:dyDescent="0.3">
      <c r="B51" s="46"/>
      <c r="C51" s="750"/>
      <c r="D51" s="106" t="s">
        <v>162</v>
      </c>
      <c r="E51" s="593">
        <v>7.77</v>
      </c>
      <c r="F51" s="135">
        <f t="shared" si="16"/>
        <v>7.77E-3</v>
      </c>
      <c r="G51" s="46"/>
      <c r="H51" s="45" t="s">
        <v>163</v>
      </c>
      <c r="I51" s="45"/>
      <c r="J51" s="45"/>
      <c r="K51" s="46"/>
      <c r="L51" s="46"/>
      <c r="M51" s="46"/>
      <c r="N51" s="46"/>
      <c r="O51" s="46"/>
      <c r="P51" s="46"/>
      <c r="Q51" s="135" t="s">
        <v>155</v>
      </c>
      <c r="R51" s="507" t="s">
        <v>417</v>
      </c>
      <c r="S51" s="593">
        <v>2.48</v>
      </c>
      <c r="T51" s="593">
        <v>2.08</v>
      </c>
      <c r="U51" s="46"/>
      <c r="V51" s="46"/>
      <c r="W51" s="46"/>
      <c r="X51" s="46"/>
      <c r="Y51" s="46"/>
      <c r="Z51" s="46"/>
      <c r="AA51" s="46"/>
    </row>
    <row r="52" spans="2:37" s="47" customFormat="1" x14ac:dyDescent="0.3">
      <c r="B52" s="46"/>
      <c r="C52" s="224"/>
      <c r="D52" s="225"/>
      <c r="E52" s="539" t="s">
        <v>163</v>
      </c>
      <c r="F52" s="135"/>
      <c r="G52" s="46"/>
      <c r="H52" s="46"/>
      <c r="I52" s="46"/>
      <c r="J52" s="46"/>
      <c r="K52" s="46"/>
      <c r="L52" s="46"/>
      <c r="M52" s="46"/>
      <c r="N52" s="46"/>
      <c r="O52" s="46"/>
      <c r="P52" s="46"/>
      <c r="Q52" s="46"/>
      <c r="R52" s="46"/>
      <c r="S52" s="46"/>
      <c r="T52" s="46"/>
      <c r="U52" s="46"/>
      <c r="V52" s="46"/>
      <c r="W52" s="46"/>
      <c r="X52" s="46"/>
      <c r="Y52" s="46"/>
      <c r="Z52" s="46"/>
      <c r="AA52" s="46"/>
      <c r="AB52" s="46"/>
    </row>
    <row r="53" spans="2:37" s="47" customFormat="1" ht="27.6" x14ac:dyDescent="0.3">
      <c r="B53" s="46"/>
      <c r="C53" s="46"/>
      <c r="D53" s="226" t="s">
        <v>165</v>
      </c>
      <c r="E53" s="589">
        <f>H53+H54</f>
        <v>4.0600000000000005</v>
      </c>
      <c r="F53" s="135">
        <f>E53/1000</f>
        <v>4.0600000000000002E-3</v>
      </c>
      <c r="G53" s="227" t="s">
        <v>166</v>
      </c>
      <c r="H53" s="603">
        <v>1.86</v>
      </c>
      <c r="I53" s="46"/>
      <c r="J53" s="46"/>
      <c r="K53" s="46"/>
      <c r="O53" s="46"/>
      <c r="P53" s="46"/>
      <c r="Q53" s="46"/>
      <c r="R53"/>
      <c r="S53" s="46"/>
      <c r="T53" s="35"/>
      <c r="U53" s="46"/>
      <c r="V53" s="46"/>
      <c r="W53" s="46"/>
      <c r="X53" s="46"/>
      <c r="Y53" s="46"/>
      <c r="Z53" s="46"/>
      <c r="AA53" s="46"/>
      <c r="AB53" s="46"/>
    </row>
    <row r="54" spans="2:37" s="47" customFormat="1" ht="72.599999999999994" x14ac:dyDescent="0.3">
      <c r="B54" s="46"/>
      <c r="C54" s="46"/>
      <c r="D54" s="226" t="s">
        <v>140</v>
      </c>
      <c r="E54" s="604">
        <f>13/1000</f>
        <v>1.2999999999999999E-2</v>
      </c>
      <c r="F54" s="211" t="s">
        <v>168</v>
      </c>
      <c r="G54" s="228" t="s">
        <v>413</v>
      </c>
      <c r="H54" s="603">
        <v>2.2000000000000002</v>
      </c>
      <c r="I54" s="46"/>
      <c r="J54" s="46"/>
      <c r="K54" s="46"/>
      <c r="L54" s="46"/>
      <c r="M54" s="46"/>
      <c r="N54" s="46"/>
      <c r="O54" s="46"/>
      <c r="P54" s="46"/>
      <c r="Q54" s="46"/>
      <c r="R54" s="46"/>
      <c r="S54" s="46"/>
      <c r="T54" s="46"/>
      <c r="U54" s="46"/>
      <c r="V54" s="46"/>
      <c r="W54" s="46"/>
      <c r="X54" s="46"/>
      <c r="Y54" s="46"/>
      <c r="Z54" s="46"/>
      <c r="AA54" s="46"/>
      <c r="AB54" s="46"/>
      <c r="AC54" s="46"/>
      <c r="AD54" s="46"/>
      <c r="AE54" s="46"/>
      <c r="AF54" s="46"/>
    </row>
    <row r="55" spans="2:37" s="47" customFormat="1" ht="28.8" x14ac:dyDescent="0.3">
      <c r="B55" s="46"/>
      <c r="C55" s="46"/>
      <c r="D55" s="88" t="s">
        <v>169</v>
      </c>
      <c r="E55" s="604" t="s">
        <v>170</v>
      </c>
      <c r="F55" s="211"/>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row>
    <row r="56" spans="2:37" s="47" customFormat="1" ht="43.2" x14ac:dyDescent="0.3">
      <c r="B56" s="46"/>
      <c r="C56" s="46"/>
      <c r="D56" s="88" t="s">
        <v>171</v>
      </c>
      <c r="E56" s="604">
        <v>519</v>
      </c>
      <c r="F56" s="211"/>
      <c r="G56" s="46"/>
      <c r="H56" s="46"/>
      <c r="I56" s="46"/>
      <c r="J56" s="46"/>
      <c r="K56" s="46"/>
      <c r="L56" s="46"/>
      <c r="M56" s="46"/>
      <c r="N56" s="46"/>
      <c r="O56" s="46"/>
      <c r="P56" s="46"/>
      <c r="Q56" s="46"/>
      <c r="R56" s="46"/>
      <c r="S56" s="46"/>
      <c r="T56" s="46"/>
      <c r="U56" s="46"/>
      <c r="V56" s="46"/>
      <c r="W56"/>
      <c r="X56" s="46"/>
      <c r="Y56" s="35"/>
      <c r="Z56" s="46"/>
      <c r="AA56" s="46"/>
      <c r="AB56" s="46"/>
      <c r="AC56" s="46"/>
      <c r="AD56" s="46"/>
      <c r="AE56" s="46"/>
      <c r="AF56" s="46"/>
      <c r="AG56" s="46"/>
      <c r="AH56" s="46"/>
      <c r="AI56" s="46"/>
      <c r="AJ56" s="46"/>
      <c r="AK56" s="46"/>
    </row>
    <row r="57" spans="2:37" s="47" customFormat="1" x14ac:dyDescent="0.3">
      <c r="B57" s="46"/>
      <c r="C57" s="46"/>
      <c r="D57" s="46"/>
      <c r="E57" s="46"/>
      <c r="F57" s="46"/>
      <c r="G57" s="46"/>
      <c r="H57" s="46"/>
      <c r="I57" s="46"/>
      <c r="J57" s="46"/>
      <c r="K57" s="46"/>
      <c r="L57" s="46"/>
      <c r="M57" s="46"/>
      <c r="N57" s="46"/>
      <c r="O57" s="46"/>
      <c r="P57" s="46"/>
      <c r="Q57" s="46"/>
      <c r="R57" s="46"/>
      <c r="S57" s="46"/>
      <c r="T57" s="46"/>
      <c r="U57" s="46"/>
      <c r="V57" s="46"/>
      <c r="W57"/>
      <c r="X57" s="46"/>
      <c r="Y57" s="35"/>
      <c r="Z57" s="46"/>
      <c r="AA57" s="46"/>
      <c r="AB57" s="46"/>
      <c r="AC57" s="46"/>
      <c r="AD57" s="46"/>
      <c r="AE57" s="46"/>
      <c r="AF57" s="46"/>
      <c r="AG57" s="46"/>
      <c r="AH57" s="46"/>
      <c r="AI57" s="46"/>
      <c r="AJ57" s="46"/>
      <c r="AK57" s="46"/>
    </row>
    <row r="58" spans="2:37" s="47" customFormat="1" ht="28.8" x14ac:dyDescent="0.3">
      <c r="B58" s="46"/>
      <c r="C58" s="46"/>
      <c r="D58" s="46"/>
      <c r="E58" s="46"/>
      <c r="F58" s="46"/>
      <c r="G58" s="46"/>
      <c r="H58" s="46"/>
      <c r="I58" s="46"/>
      <c r="J58" s="46" t="s">
        <v>172</v>
      </c>
      <c r="K58" s="46"/>
      <c r="L58" s="46"/>
      <c r="M58" s="46"/>
      <c r="N58" s="229"/>
      <c r="O58" s="46"/>
      <c r="P58" s="46"/>
      <c r="Q58" s="46"/>
      <c r="R58" s="46"/>
      <c r="S58" s="46"/>
      <c r="T58" s="46"/>
      <c r="U58" s="229"/>
      <c r="V58" s="46"/>
      <c r="W58" s="46"/>
      <c r="X58" s="46"/>
      <c r="Y58" s="35"/>
      <c r="Z58" s="46"/>
      <c r="AA58" s="46"/>
      <c r="AB58" s="46"/>
      <c r="AC58" s="46"/>
      <c r="AD58" s="46"/>
      <c r="AE58" s="46"/>
      <c r="AF58" s="46"/>
      <c r="AG58" s="46"/>
      <c r="AH58" s="46"/>
      <c r="AI58" s="46"/>
      <c r="AJ58" s="46"/>
      <c r="AK58" s="46"/>
    </row>
    <row r="59" spans="2:37" s="47" customFormat="1" ht="43.2" x14ac:dyDescent="0.3">
      <c r="B59" s="46"/>
      <c r="C59" s="46"/>
      <c r="D59" s="46" t="s">
        <v>173</v>
      </c>
      <c r="E59" s="226" t="s">
        <v>174</v>
      </c>
      <c r="F59" s="226" t="s">
        <v>175</v>
      </c>
      <c r="G59" s="540" t="s">
        <v>38</v>
      </c>
      <c r="H59" s="540" t="s">
        <v>176</v>
      </c>
      <c r="I59" s="540" t="s">
        <v>177</v>
      </c>
      <c r="J59" s="46">
        <f>YEAR(D43)</f>
        <v>2026</v>
      </c>
      <c r="K59" s="46" t="s">
        <v>178</v>
      </c>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row>
    <row r="60" spans="2:37" s="47" customFormat="1" x14ac:dyDescent="0.3">
      <c r="B60" s="46"/>
      <c r="C60" s="46"/>
      <c r="D60" s="46">
        <v>1</v>
      </c>
      <c r="E60" s="135" t="s">
        <v>56</v>
      </c>
      <c r="F60" s="230">
        <f>DAY(EOMONTH(DATE(YEAR(D43),$D60,1),0))</f>
        <v>31</v>
      </c>
      <c r="G60" s="593">
        <v>1.43</v>
      </c>
      <c r="H60" s="601">
        <v>0.4</v>
      </c>
      <c r="I60" s="593">
        <v>0.72</v>
      </c>
      <c r="J60" s="229">
        <f>EOMONTH(DATE(YEAR(D43),$D60,1),0)</f>
        <v>46053</v>
      </c>
      <c r="K60" s="229">
        <f>J60-F60+1</f>
        <v>46023</v>
      </c>
      <c r="L60" s="229">
        <f>J60</f>
        <v>46053</v>
      </c>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row>
    <row r="61" spans="2:37" s="47" customFormat="1" x14ac:dyDescent="0.3">
      <c r="B61" s="46"/>
      <c r="C61" s="46"/>
      <c r="D61" s="46">
        <v>2</v>
      </c>
      <c r="E61" s="135" t="s">
        <v>58</v>
      </c>
      <c r="F61" s="230">
        <f>DAY(EOMONTH(DATE(YEAR(D43),$D61,1),0))</f>
        <v>28</v>
      </c>
      <c r="G61" s="593">
        <v>1.43</v>
      </c>
      <c r="H61" s="601">
        <v>0.4</v>
      </c>
      <c r="I61" s="593">
        <v>0.72</v>
      </c>
      <c r="J61" s="229">
        <f>EOMONTH(DATE(YEAR(D43),$D61,1),0)</f>
        <v>46081</v>
      </c>
      <c r="K61" s="229">
        <f t="shared" ref="K61:K71" si="18">J61-F61+1</f>
        <v>46054</v>
      </c>
      <c r="L61" s="229">
        <f t="shared" ref="L61:L71" si="19">J61</f>
        <v>46081</v>
      </c>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row>
    <row r="62" spans="2:37" s="47" customFormat="1" x14ac:dyDescent="0.3">
      <c r="B62" s="46"/>
      <c r="C62" s="46"/>
      <c r="D62" s="46">
        <v>3</v>
      </c>
      <c r="E62" s="135" t="s">
        <v>60</v>
      </c>
      <c r="F62" s="230">
        <f>DAY(EOMONTH(DATE(YEAR(D43),$D62,1),0))</f>
        <v>31</v>
      </c>
      <c r="G62" s="593">
        <v>0.71</v>
      </c>
      <c r="H62" s="601">
        <v>0.2</v>
      </c>
      <c r="I62" s="593">
        <v>0.28000000000000003</v>
      </c>
      <c r="J62" s="229">
        <f>EOMONTH(DATE(YEAR(D43),$D62,1),0)</f>
        <v>46112</v>
      </c>
      <c r="K62" s="229">
        <f t="shared" si="18"/>
        <v>46082</v>
      </c>
      <c r="L62" s="229">
        <f t="shared" si="19"/>
        <v>46112</v>
      </c>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row>
    <row r="63" spans="2:37" s="47" customFormat="1" x14ac:dyDescent="0.3">
      <c r="B63" s="46"/>
      <c r="C63" s="46"/>
      <c r="D63" s="46">
        <v>4</v>
      </c>
      <c r="E63" s="135" t="s">
        <v>66</v>
      </c>
      <c r="F63" s="230">
        <f>DAY(EOMONTH(DATE(YEAR(D43),$D63,1),0))</f>
        <v>30</v>
      </c>
      <c r="G63" s="593">
        <v>0.23</v>
      </c>
      <c r="H63" s="602">
        <v>8.3000000000000004E-2</v>
      </c>
      <c r="I63" s="603">
        <v>9.9599999999999994E-2</v>
      </c>
      <c r="J63" s="229">
        <f>EOMONTH(DATE(YEAR(D43),$D63,1),0)</f>
        <v>46142</v>
      </c>
      <c r="K63" s="229">
        <f t="shared" si="18"/>
        <v>46113</v>
      </c>
      <c r="L63" s="229">
        <f t="shared" si="19"/>
        <v>46142</v>
      </c>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row>
    <row r="64" spans="2:37" s="47" customFormat="1" x14ac:dyDescent="0.3">
      <c r="B64" s="46"/>
      <c r="C64" s="46"/>
      <c r="D64" s="46">
        <v>5</v>
      </c>
      <c r="E64" s="135" t="s">
        <v>70</v>
      </c>
      <c r="F64" s="230">
        <f>DAY(EOMONTH(DATE(YEAR(D43),$D64,1),0))</f>
        <v>31</v>
      </c>
      <c r="G64" s="593">
        <v>0.23</v>
      </c>
      <c r="H64" s="602">
        <v>8.3000000000000004E-2</v>
      </c>
      <c r="I64" s="603">
        <v>9.9599999999999994E-2</v>
      </c>
      <c r="J64" s="229">
        <f>EOMONTH(DATE(YEAR(D43),$D64,1),0)</f>
        <v>46173</v>
      </c>
      <c r="K64" s="229">
        <f t="shared" si="18"/>
        <v>46143</v>
      </c>
      <c r="L64" s="229">
        <f t="shared" si="19"/>
        <v>46173</v>
      </c>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row>
    <row r="65" spans="2:37" s="47" customFormat="1" x14ac:dyDescent="0.3">
      <c r="B65" s="46"/>
      <c r="C65" s="46"/>
      <c r="D65" s="46">
        <v>6</v>
      </c>
      <c r="E65" s="135" t="s">
        <v>90</v>
      </c>
      <c r="F65" s="230">
        <f>DAY(EOMONTH(DATE(YEAR(D43),$D65,1),0))</f>
        <v>30</v>
      </c>
      <c r="G65" s="593">
        <v>0.23</v>
      </c>
      <c r="H65" s="602">
        <v>8.3000000000000004E-2</v>
      </c>
      <c r="I65" s="603">
        <v>9.9599999999999994E-2</v>
      </c>
      <c r="J65" s="229">
        <f>EOMONTH(DATE(YEAR(D43),$D65,1),0)</f>
        <v>46203</v>
      </c>
      <c r="K65" s="229">
        <f t="shared" si="18"/>
        <v>46174</v>
      </c>
      <c r="L65" s="229">
        <f t="shared" si="19"/>
        <v>46203</v>
      </c>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row>
    <row r="66" spans="2:37" s="47" customFormat="1" x14ac:dyDescent="0.3">
      <c r="B66" s="46"/>
      <c r="C66" s="46"/>
      <c r="D66" s="46">
        <v>7</v>
      </c>
      <c r="E66" s="135" t="s">
        <v>93</v>
      </c>
      <c r="F66" s="230">
        <f>DAY(EOMONTH(DATE(YEAR(D43),$D66,1),0))</f>
        <v>31</v>
      </c>
      <c r="G66" s="593">
        <v>0.23</v>
      </c>
      <c r="H66" s="602">
        <v>8.3000000000000004E-2</v>
      </c>
      <c r="I66" s="603">
        <v>9.9599999999999994E-2</v>
      </c>
      <c r="J66" s="229">
        <f>EOMONTH(DATE(YEAR(D43),$D66,1),0)</f>
        <v>46234</v>
      </c>
      <c r="K66" s="229">
        <f t="shared" si="18"/>
        <v>46204</v>
      </c>
      <c r="L66" s="229">
        <f t="shared" si="19"/>
        <v>46234</v>
      </c>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row>
    <row r="67" spans="2:37" s="47" customFormat="1" x14ac:dyDescent="0.3">
      <c r="B67" s="46"/>
      <c r="C67" s="46"/>
      <c r="D67" s="46">
        <v>8</v>
      </c>
      <c r="E67" s="135" t="s">
        <v>96</v>
      </c>
      <c r="F67" s="230">
        <f>DAY(EOMONTH(DATE(YEAR(D43),$D67,1),0))</f>
        <v>31</v>
      </c>
      <c r="G67" s="593">
        <v>0.23</v>
      </c>
      <c r="H67" s="602">
        <v>8.3000000000000004E-2</v>
      </c>
      <c r="I67" s="603">
        <v>9.9599999999999994E-2</v>
      </c>
      <c r="J67" s="229">
        <f>EOMONTH(DATE(YEAR(D43),$D67,1),0)</f>
        <v>46265</v>
      </c>
      <c r="K67" s="229">
        <f t="shared" si="18"/>
        <v>46235</v>
      </c>
      <c r="L67" s="229">
        <f t="shared" si="19"/>
        <v>46265</v>
      </c>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row>
    <row r="68" spans="2:37" s="47" customFormat="1" x14ac:dyDescent="0.3">
      <c r="B68" s="46"/>
      <c r="C68" s="46"/>
      <c r="D68" s="46">
        <v>9</v>
      </c>
      <c r="E68" s="135" t="s">
        <v>99</v>
      </c>
      <c r="F68" s="230">
        <f>DAY(EOMONTH(DATE(YEAR(D43),$D68,1),0))</f>
        <v>30</v>
      </c>
      <c r="G68" s="593">
        <v>0.23</v>
      </c>
      <c r="H68" s="602">
        <v>8.3000000000000004E-2</v>
      </c>
      <c r="I68" s="603">
        <v>9.9599999999999994E-2</v>
      </c>
      <c r="J68" s="229">
        <f>EOMONTH(DATE(YEAR(D43),$D68,1),0)</f>
        <v>46295</v>
      </c>
      <c r="K68" s="229">
        <f t="shared" si="18"/>
        <v>46266</v>
      </c>
      <c r="L68" s="229">
        <f t="shared" si="19"/>
        <v>46295</v>
      </c>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row>
    <row r="69" spans="2:37" s="47" customFormat="1" x14ac:dyDescent="0.3">
      <c r="B69" s="46"/>
      <c r="C69" s="46"/>
      <c r="D69" s="46">
        <v>10</v>
      </c>
      <c r="E69" s="135" t="s">
        <v>102</v>
      </c>
      <c r="F69" s="230">
        <f>DAY(EOMONTH(DATE(YEAR(D43),$D69,1),0))</f>
        <v>31</v>
      </c>
      <c r="G69" s="593">
        <v>0.23</v>
      </c>
      <c r="H69" s="602">
        <v>8.3000000000000004E-2</v>
      </c>
      <c r="I69" s="603">
        <v>9.9599999999999994E-2</v>
      </c>
      <c r="J69" s="229">
        <f>EOMONTH(DATE(YEAR(D43),$D69,1),0)</f>
        <v>46326</v>
      </c>
      <c r="K69" s="229">
        <f t="shared" si="18"/>
        <v>46296</v>
      </c>
      <c r="L69" s="229">
        <f t="shared" si="19"/>
        <v>46326</v>
      </c>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row>
    <row r="70" spans="2:37" s="47" customFormat="1" x14ac:dyDescent="0.3">
      <c r="B70" s="46"/>
      <c r="C70" s="46"/>
      <c r="D70" s="46">
        <v>11</v>
      </c>
      <c r="E70" s="135" t="s">
        <v>105</v>
      </c>
      <c r="F70" s="230">
        <f>DAY(EOMONTH(DATE(YEAR(D43),$D70,1),0))</f>
        <v>30</v>
      </c>
      <c r="G70" s="593">
        <v>0.71</v>
      </c>
      <c r="H70" s="601">
        <v>0.2</v>
      </c>
      <c r="I70" s="593">
        <v>0.28000000000000003</v>
      </c>
      <c r="J70" s="229">
        <f>EOMONTH(DATE(YEAR(D43),$D70,1),0)</f>
        <v>46356</v>
      </c>
      <c r="K70" s="229">
        <f t="shared" si="18"/>
        <v>46327</v>
      </c>
      <c r="L70" s="229">
        <f t="shared" si="19"/>
        <v>46356</v>
      </c>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row>
    <row r="71" spans="2:37" s="47" customFormat="1" x14ac:dyDescent="0.3">
      <c r="B71" s="46"/>
      <c r="C71" s="46"/>
      <c r="D71" s="46">
        <v>12</v>
      </c>
      <c r="E71" s="135" t="s">
        <v>108</v>
      </c>
      <c r="F71" s="230">
        <f>DAY(EOMONTH(DATE(YEAR(D43),$D71,1),0))</f>
        <v>31</v>
      </c>
      <c r="G71" s="593">
        <v>1.43</v>
      </c>
      <c r="H71" s="601">
        <v>0.4</v>
      </c>
      <c r="I71" s="593">
        <v>0.72</v>
      </c>
      <c r="J71" s="229">
        <f>EOMONTH(DATE(YEAR(D43),$D71,1),0)</f>
        <v>46387</v>
      </c>
      <c r="K71" s="229">
        <f t="shared" si="18"/>
        <v>46357</v>
      </c>
      <c r="L71" s="229">
        <f t="shared" si="19"/>
        <v>46387</v>
      </c>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row>
    <row r="72" spans="2:37" s="47" customFormat="1" x14ac:dyDescent="0.3">
      <c r="B72" s="46"/>
      <c r="C72" s="46"/>
      <c r="D72" s="46"/>
      <c r="E72" s="46"/>
      <c r="F72" s="58">
        <f>SUM(F60:F71)</f>
        <v>365</v>
      </c>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row>
    <row r="73" spans="2:37" s="47" customFormat="1" x14ac:dyDescent="0.3">
      <c r="B73" s="46"/>
      <c r="C73" s="46"/>
      <c r="D73" s="46"/>
      <c r="E73" s="46"/>
      <c r="F73" s="46"/>
      <c r="G73" s="46"/>
      <c r="H73" s="46"/>
      <c r="I73" s="46"/>
      <c r="J73" s="46"/>
      <c r="K73" s="46"/>
      <c r="L73" s="46"/>
      <c r="M73" s="46"/>
      <c r="N73" s="46"/>
      <c r="O73" s="46"/>
      <c r="P73" s="46"/>
      <c r="Q73" s="46"/>
      <c r="R73" s="46"/>
      <c r="S73" s="46"/>
      <c r="T73" s="46"/>
      <c r="U73" s="35" t="s">
        <v>180</v>
      </c>
      <c r="V73" s="46"/>
      <c r="W73" s="46"/>
      <c r="X73" s="46"/>
      <c r="Y73" s="46"/>
      <c r="Z73" s="46"/>
      <c r="AA73" s="46"/>
      <c r="AB73" s="46"/>
      <c r="AC73" s="46"/>
      <c r="AD73" s="46"/>
      <c r="AE73" s="46"/>
      <c r="AF73" s="46"/>
      <c r="AG73" s="46"/>
      <c r="AH73" s="46"/>
      <c r="AI73" s="46"/>
      <c r="AJ73" s="46"/>
      <c r="AK73" s="46"/>
    </row>
    <row r="74" spans="2:37" s="47" customFormat="1" x14ac:dyDescent="0.3">
      <c r="B74" s="46"/>
      <c r="C74" s="46"/>
      <c r="D74" s="751"/>
      <c r="E74" s="46" t="s">
        <v>80</v>
      </c>
      <c r="F74" s="46" t="s">
        <v>81</v>
      </c>
      <c r="G74" s="46" t="s">
        <v>82</v>
      </c>
      <c r="H74" s="46" t="s">
        <v>83</v>
      </c>
      <c r="I74" s="46" t="s">
        <v>84</v>
      </c>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row>
    <row r="75" spans="2:37" s="47" customFormat="1" ht="57.6" x14ac:dyDescent="0.3">
      <c r="B75" s="46"/>
      <c r="C75" s="46"/>
      <c r="D75" s="751"/>
      <c r="E75" s="46" t="s">
        <v>179</v>
      </c>
      <c r="F75" s="46" t="s">
        <v>179</v>
      </c>
      <c r="G75" s="46" t="s">
        <v>179</v>
      </c>
      <c r="H75" s="46" t="s">
        <v>179</v>
      </c>
      <c r="I75" s="46" t="s">
        <v>179</v>
      </c>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row>
    <row r="76" spans="2:37" s="47" customFormat="1" ht="28.8" x14ac:dyDescent="0.3">
      <c r="B76" s="58" t="s">
        <v>181</v>
      </c>
      <c r="C76" s="46"/>
      <c r="D76" s="46"/>
      <c r="E76" s="231">
        <f>EOMONTH(E78,1)</f>
        <v>59</v>
      </c>
      <c r="F76" s="231">
        <f t="shared" ref="F76:H76" si="20">EOMONTH(F78,1)</f>
        <v>59</v>
      </c>
      <c r="G76" s="231">
        <f t="shared" si="20"/>
        <v>59</v>
      </c>
      <c r="H76" s="231">
        <f t="shared" si="20"/>
        <v>59</v>
      </c>
      <c r="I76" s="231">
        <f>EOMONTH(I78,1)</f>
        <v>59</v>
      </c>
      <c r="J76" s="35" t="s">
        <v>182</v>
      </c>
      <c r="K76" s="231"/>
      <c r="L76" s="231"/>
      <c r="M76" s="231"/>
      <c r="N76" s="229">
        <f>IF(MONTH('Klasik, CNG, M3R, výrobce'!F6=1),'Klasik, CNG, M3R, výrobce'!$K$60-30,'Klasik, CNG, M3R, výrobce'!E$79)</f>
        <v>45993</v>
      </c>
      <c r="O76" s="35"/>
      <c r="P76" s="46"/>
      <c r="Q76" s="46"/>
      <c r="R76" s="46"/>
      <c r="S76" s="46"/>
      <c r="T76" s="46"/>
      <c r="U76" s="46"/>
      <c r="V76" s="46"/>
      <c r="W76" s="46"/>
      <c r="X76" s="46"/>
      <c r="Y76" s="46"/>
      <c r="Z76" s="46"/>
      <c r="AA76" s="46"/>
      <c r="AB76" s="46"/>
      <c r="AC76" s="46"/>
      <c r="AD76" s="46"/>
      <c r="AE76" s="46"/>
      <c r="AF76" s="46"/>
      <c r="AG76" s="46"/>
      <c r="AH76" s="46"/>
      <c r="AI76" s="46"/>
      <c r="AJ76" s="46"/>
      <c r="AK76" s="46"/>
    </row>
    <row r="77" spans="2:37" s="47" customFormat="1" x14ac:dyDescent="0.3">
      <c r="B77" s="46"/>
      <c r="C77" s="46"/>
      <c r="D77" s="46"/>
      <c r="E77" s="231">
        <f>VLOOKUP(MONTH(E78),$D$60:$F$71,3,FALSE)+E78-1</f>
        <v>30</v>
      </c>
      <c r="F77" s="231">
        <f t="shared" ref="F77:I77" si="21">VLOOKUP(MONTH(F78),$D$60:$F$71,3,FALSE)+F78-1</f>
        <v>30</v>
      </c>
      <c r="G77" s="231">
        <f t="shared" si="21"/>
        <v>30</v>
      </c>
      <c r="H77" s="231">
        <f t="shared" si="21"/>
        <v>30</v>
      </c>
      <c r="I77" s="231">
        <f t="shared" si="21"/>
        <v>30</v>
      </c>
      <c r="J77" s="35" t="s">
        <v>183</v>
      </c>
      <c r="K77" s="229"/>
      <c r="L77" s="229"/>
      <c r="M77" s="229"/>
      <c r="O77" s="35"/>
      <c r="P77" s="46"/>
      <c r="Q77" s="46"/>
      <c r="R77" s="46"/>
      <c r="S77" s="46"/>
      <c r="T77" s="46"/>
      <c r="U77" s="46"/>
      <c r="V77" s="46"/>
      <c r="W77" s="46"/>
      <c r="X77" s="46"/>
      <c r="Y77" s="46"/>
      <c r="Z77" s="46"/>
      <c r="AA77" s="46"/>
      <c r="AB77" s="46"/>
      <c r="AC77" s="46"/>
      <c r="AD77" s="46"/>
      <c r="AE77" s="46"/>
      <c r="AF77" s="46"/>
      <c r="AG77" s="46"/>
      <c r="AH77" s="46"/>
      <c r="AI77" s="46"/>
      <c r="AJ77" s="46"/>
      <c r="AK77" s="46"/>
    </row>
    <row r="78" spans="2:37" s="47" customFormat="1" x14ac:dyDescent="0.3">
      <c r="B78" s="46"/>
      <c r="C78" s="46"/>
      <c r="D78" s="46"/>
      <c r="E78" s="229">
        <f>$N$26</f>
        <v>0</v>
      </c>
      <c r="F78" s="229">
        <f>$N$27</f>
        <v>0</v>
      </c>
      <c r="G78" s="229">
        <f>$N$28</f>
        <v>0</v>
      </c>
      <c r="H78" s="229">
        <f>$N$29</f>
        <v>0</v>
      </c>
      <c r="I78" s="229">
        <f>$N$30</f>
        <v>0</v>
      </c>
      <c r="J78" s="46" t="s">
        <v>184</v>
      </c>
      <c r="K78" s="229"/>
      <c r="L78" s="229"/>
      <c r="M78" s="229"/>
      <c r="O78" s="46"/>
      <c r="P78" s="46"/>
      <c r="Q78" s="46"/>
      <c r="R78" s="46"/>
      <c r="S78" s="46"/>
      <c r="T78" s="46"/>
      <c r="U78" s="46"/>
      <c r="W78" s="46"/>
      <c r="X78" s="46"/>
      <c r="Y78" s="46"/>
      <c r="Z78" s="46"/>
      <c r="AA78" s="46"/>
      <c r="AB78" s="46"/>
      <c r="AC78" s="46"/>
      <c r="AD78" s="46"/>
      <c r="AE78" s="46"/>
      <c r="AF78" s="46"/>
      <c r="AG78" s="46"/>
      <c r="AH78" s="46"/>
      <c r="AI78" s="46"/>
      <c r="AJ78" s="46"/>
      <c r="AK78" s="46"/>
    </row>
    <row r="79" spans="2:37" s="47" customFormat="1" x14ac:dyDescent="0.3">
      <c r="B79" s="35"/>
      <c r="C79" s="46"/>
      <c r="D79" s="46"/>
      <c r="E79" s="229">
        <f>EOMONTH(DATE(YEAR($F$7),$E$81,-1),-1)+2</f>
        <v>45993</v>
      </c>
      <c r="F79" s="229">
        <f>EOMONTH(DATE(YEAR($F$7),$F$81,-1),-1)+2</f>
        <v>45993</v>
      </c>
      <c r="G79" s="229">
        <f>EOMONTH(DATE(YEAR($F$7),$G$81,-1),-1)+2</f>
        <v>45993</v>
      </c>
      <c r="H79" s="229">
        <f>EOMONTH(DATE(YEAR($F$7),$H$81,-1),-1)+2</f>
        <v>45993</v>
      </c>
      <c r="I79" s="229">
        <f>EOMONTH(DATE(YEAR($F$7),$I$81,-1),-1)+2</f>
        <v>45993</v>
      </c>
      <c r="J79" s="243" t="s">
        <v>190</v>
      </c>
      <c r="K79" s="46"/>
      <c r="L79" s="46"/>
      <c r="M79" s="46"/>
      <c r="N79" s="46"/>
      <c r="O79" s="46"/>
      <c r="P79" s="46"/>
      <c r="W79" s="46"/>
      <c r="X79" s="46"/>
      <c r="Y79" s="46"/>
      <c r="Z79" s="46"/>
      <c r="AA79" s="46"/>
      <c r="AB79" s="46"/>
      <c r="AC79" s="46"/>
      <c r="AD79" s="46"/>
      <c r="AE79" s="46"/>
      <c r="AF79" s="46"/>
      <c r="AG79" s="46"/>
      <c r="AH79" s="46"/>
      <c r="AI79" s="46"/>
      <c r="AJ79" s="46"/>
      <c r="AK79" s="46"/>
    </row>
    <row r="80" spans="2:37" s="47" customFormat="1" x14ac:dyDescent="0.3">
      <c r="B80" s="46"/>
      <c r="C80" s="46"/>
      <c r="D80" s="46"/>
      <c r="E80" s="229">
        <f>EOMONTH(DATE(YEAR($F$7),$E$81,1),0)</f>
        <v>46053</v>
      </c>
      <c r="F80" s="229">
        <f>EOMONTH(DATE(YEAR($F$7),$E$81,1),0)</f>
        <v>46053</v>
      </c>
      <c r="G80" s="229">
        <f>EOMONTH(DATE(YEAR($F$7),$E$81,1),0)</f>
        <v>46053</v>
      </c>
      <c r="H80" s="229">
        <f>EOMONTH(DATE(YEAR($F$7),$E$81,1),0)</f>
        <v>46053</v>
      </c>
      <c r="I80" s="229">
        <f>EOMONTH(DATE(YEAR($F$7),$E$81,1),0)</f>
        <v>46053</v>
      </c>
      <c r="J80" s="35" t="s">
        <v>191</v>
      </c>
      <c r="K80" s="232"/>
      <c r="L80" s="232"/>
      <c r="M80" s="232"/>
      <c r="N80" s="232"/>
      <c r="O80" s="232"/>
      <c r="P80" s="46"/>
      <c r="AD80" s="46"/>
      <c r="AE80" s="46"/>
      <c r="AF80" s="46"/>
      <c r="AG80" s="46"/>
      <c r="AH80" s="46"/>
      <c r="AI80" s="46"/>
      <c r="AJ80" s="46"/>
      <c r="AK80" s="46"/>
    </row>
    <row r="81" spans="2:29" s="47" customFormat="1" ht="43.2" x14ac:dyDescent="0.3">
      <c r="B81" s="244"/>
      <c r="E81" s="46">
        <f>MONTH($F$7)</f>
        <v>1</v>
      </c>
      <c r="F81" s="46">
        <f>MONTH($F$7)</f>
        <v>1</v>
      </c>
      <c r="G81" s="46">
        <f>MONTH($F$7)</f>
        <v>1</v>
      </c>
      <c r="H81" s="46">
        <f>MONTH($F$7)</f>
        <v>1</v>
      </c>
      <c r="I81" s="46">
        <f>MONTH($F$7)</f>
        <v>1</v>
      </c>
      <c r="J81" s="47" t="s">
        <v>192</v>
      </c>
    </row>
    <row r="82" spans="2:29" s="47" customFormat="1" ht="57.6" x14ac:dyDescent="0.3">
      <c r="B82" s="244"/>
      <c r="E82" s="471" t="str">
        <f>IF(IF(($N$26&lt;$F$7),E83-$F$7+1,E83-$N$26+1)&lt;=0,"období kapacity není ve fakt.období",IF(($N$26&lt;$F$7),E83-$F$7+1,E83-$N$26+1))</f>
        <v>období kapacity není ve fakt.období</v>
      </c>
      <c r="F82" s="471" t="str">
        <f>IF(IF(($N$27&lt;$F$7),F83-$F$7+1,F83-$N$27+1)&lt;=0,"období kapacity není ve fakt.období",IF(($N$27&lt;$F$7),F83-$F$7+1,F83-$N$27+1))</f>
        <v>období kapacity není ve fakt.období</v>
      </c>
      <c r="G82" s="471" t="str">
        <f>IF(IF(($N$28&lt;$F$7),G83-$F$7+1,G83-$N$28+1)&lt;=0,"období kapacity není ve fakt.období",IF(($N$28&lt;$F$7),G83-$F$7+1,G83-$N$28+1))</f>
        <v>období kapacity není ve fakt.období</v>
      </c>
      <c r="H82" s="471" t="str">
        <f>IF(IF(($N$29&lt;$F$7),H83-$F$7+1,H83-$N$29+1)&lt;=0,"období kapacity není ve fakt.období",IF(($N$29&lt;$F$7),H83-$F$7+1,H83-$N$29+1))</f>
        <v>období kapacity není ve fakt.období</v>
      </c>
      <c r="I82" s="471" t="str">
        <f>IF(IF(($N$30&lt;$F$7),I83-$F$7+1,I83-$N$30+1)&lt;=0,"období kapacity není ve fakt.období",IF(($N$30&lt;$F$7),I83-$F$7+1,I83-$N$30+1))</f>
        <v>období kapacity není ve fakt.období</v>
      </c>
      <c r="J82" s="47" t="s">
        <v>193</v>
      </c>
    </row>
    <row r="83" spans="2:29" s="47" customFormat="1" ht="57.6" x14ac:dyDescent="0.3">
      <c r="B83" s="244"/>
      <c r="E83" s="229">
        <f>IF($O$26&gt;$G$7,$G$7,$O$26)</f>
        <v>0</v>
      </c>
      <c r="F83" s="229">
        <f>IF($O$27&gt;$G$7,$G$7,$O$27)</f>
        <v>0</v>
      </c>
      <c r="G83" s="229">
        <f>IF($O$28&gt;$G$7,$G$7,$O$28)</f>
        <v>0</v>
      </c>
      <c r="H83" s="229">
        <f>IF($O$29&gt;$G$7,$G$7,$O$29)</f>
        <v>0</v>
      </c>
      <c r="I83" s="229">
        <f>IF($O$30&gt;$G$7,$G$7,$O$30)</f>
        <v>0</v>
      </c>
      <c r="J83" s="47" t="s">
        <v>194</v>
      </c>
    </row>
    <row r="84" spans="2:29" s="47" customFormat="1" x14ac:dyDescent="0.3">
      <c r="E84" s="557" t="s">
        <v>405</v>
      </c>
    </row>
    <row r="85" spans="2:29" s="47" customFormat="1" x14ac:dyDescent="0.3">
      <c r="E85" s="557" t="s">
        <v>404</v>
      </c>
    </row>
    <row r="86" spans="2:29" s="47" customFormat="1" x14ac:dyDescent="0.3"/>
    <row r="87" spans="2:29" s="47" customFormat="1" x14ac:dyDescent="0.3"/>
    <row r="88" spans="2:29" s="47" customFormat="1" x14ac:dyDescent="0.3">
      <c r="E88" s="229"/>
      <c r="F88" s="229"/>
      <c r="G88" s="229"/>
      <c r="H88" s="229"/>
      <c r="I88" s="229"/>
      <c r="J88" s="243"/>
    </row>
    <row r="89" spans="2:29" s="47" customFormat="1" x14ac:dyDescent="0.3">
      <c r="E89" s="229"/>
      <c r="F89" s="229"/>
      <c r="G89" s="229"/>
      <c r="H89" s="229"/>
      <c r="I89" s="229"/>
      <c r="J89" s="35"/>
      <c r="V89"/>
    </row>
    <row r="90" spans="2:29" s="47" customFormat="1" x14ac:dyDescent="0.3">
      <c r="Q90"/>
      <c r="R90"/>
      <c r="S90"/>
      <c r="T90"/>
      <c r="U90"/>
      <c r="V90"/>
    </row>
    <row r="91" spans="2:29" s="47" customFormat="1" x14ac:dyDescent="0.3">
      <c r="Q91"/>
      <c r="R91"/>
      <c r="S91"/>
      <c r="T91"/>
      <c r="U91"/>
      <c r="V91"/>
      <c r="W91"/>
      <c r="X91"/>
      <c r="Y91"/>
      <c r="Z91"/>
      <c r="AA91"/>
      <c r="AB91"/>
      <c r="AC91"/>
    </row>
  </sheetData>
  <mergeCells count="24">
    <mergeCell ref="C49:C51"/>
    <mergeCell ref="D74:D75"/>
    <mergeCell ref="W34:Y34"/>
    <mergeCell ref="E42:I42"/>
    <mergeCell ref="E43:F43"/>
    <mergeCell ref="G43:I43"/>
    <mergeCell ref="J43:K43"/>
    <mergeCell ref="A41:Y41"/>
    <mergeCell ref="L43:N43"/>
    <mergeCell ref="J42:N42"/>
    <mergeCell ref="W33:Y33"/>
    <mergeCell ref="A5:B5"/>
    <mergeCell ref="W8:Y9"/>
    <mergeCell ref="Z8:AE8"/>
    <mergeCell ref="G12:G15"/>
    <mergeCell ref="E13:F13"/>
    <mergeCell ref="G26:G30"/>
    <mergeCell ref="E28:F28"/>
    <mergeCell ref="J8:V9"/>
    <mergeCell ref="AF8:AK8"/>
    <mergeCell ref="Z9:AB9"/>
    <mergeCell ref="AC9:AE9"/>
    <mergeCell ref="AF9:AH9"/>
    <mergeCell ref="AI9:AK9"/>
  </mergeCells>
  <conditionalFormatting sqref="K14">
    <cfRule type="cellIs" dxfId="2" priority="1" operator="equal">
      <formula>$E$56</formula>
    </cfRule>
  </conditionalFormatting>
  <conditionalFormatting sqref="K12:M30">
    <cfRule type="cellIs" dxfId="1" priority="2" operator="equal">
      <formula>#REF!</formula>
    </cfRule>
  </conditionalFormatting>
  <conditionalFormatting sqref="Q12:U31">
    <cfRule type="cellIs" dxfId="0" priority="5" operator="equal">
      <formula>519</formula>
    </cfRule>
  </conditionalFormatting>
  <dataValidations count="9">
    <dataValidation type="list" allowBlank="1" showInputMessage="1" showErrorMessage="1" sqref="F11" xr:uid="{8545CE84-7E7F-4589-8B0A-23BE9C55872A}">
      <formula1>"0%,20%"</formula1>
    </dataValidation>
    <dataValidation type="list" allowBlank="1" showInputMessage="1" showErrorMessage="1" sqref="F23 F37" xr:uid="{70AE6241-4BD3-4EDC-A6F2-EF26C2066584}">
      <formula1>"ano, ne"</formula1>
    </dataValidation>
    <dataValidation allowBlank="1" showInputMessage="1" showErrorMessage="1" promptTitle="M3R vs. kap.C" prompt="Pokud OM nemá sjednánu M3R, tak vymažte hodnotu M3R, jinak bude chybně spočtena cena za MJ této kapacity C." sqref="J14" xr:uid="{AD1F7440-9CAF-4E4B-84F1-80D5BC70A2B1}"/>
    <dataValidation allowBlank="1" showInputMessage="1" showErrorMessage="1" promptTitle="Vymažte RDK, MK a KK" prompt="Při kapacitě M3R může být pouze roční C, ostatní kapacity nikoliv, M3R je nahrazuje. Taktéž u M3R nedojde k překročení. Proto pokud jsou zadány ještě výše ostatních kapacit, tak je vymažte." sqref="J12" xr:uid="{5A608AA2-FC33-4752-B729-5AF868181E0F}"/>
    <dataValidation type="date" allowBlank="1" showInputMessage="1" showErrorMessage="1" errorTitle="Chybný datum" error="Datum začátku klouz.kapacity není v rozmezí pro fakturovaný měsíc. Může být minimálně od 2.dne předcházejícího měsíce a maximálně do konce fakturovaného měsíce." sqref="N30" xr:uid="{ACF49733-1CCB-4754-B977-127DF049144A}">
      <formula1>IF(I$81=1,$K$60-30,I$79)</formula1>
      <formula2>$I$80</formula2>
    </dataValidation>
    <dataValidation type="date" allowBlank="1" showInputMessage="1" showErrorMessage="1" errorTitle="Chybný datum" error="Datum začátku klouz.kapacity není v rozmezí pro daný měsíc výpočtu. Může být minimálně od 2.dne předcházejícího měsíce a maximálně do konce měsíce výpočtu." sqref="N26" xr:uid="{FF5020AE-C173-41D4-B2CB-9CA5FF8AF6DA}">
      <formula1>IF($E$81=1,$K$60-30,$E$79)</formula1>
      <formula2>$E$80</formula2>
    </dataValidation>
    <dataValidation type="date" allowBlank="1" showInputMessage="1" showErrorMessage="1" errorTitle="Chybný datum" error="Datum začátku klouz.kapacity není v rozmezí pro fakturovaný měsíc. Může být minimálně od 2.dne předcházejícího měsíce a maximálně do konce fakturovaného měsíce." sqref="N27" xr:uid="{AE4DFDE1-7851-49F0-B405-53270FC3E26D}">
      <formula1>IF(F$81=1,$K$60-30,F$79)</formula1>
      <formula2>$F$80</formula2>
    </dataValidation>
    <dataValidation type="date" allowBlank="1" showInputMessage="1" showErrorMessage="1" errorTitle="Chybný datum" error="Datum začátku klouz.kapacity není v rozmezí pro fakturovaný měsíc. Může být minimálně od 2.dne předcházejícího měsíce a maximálně do konce fakturovaného měsíce." sqref="N28" xr:uid="{7A0F5B2D-6E8E-42B5-A12D-E97222AB37C4}">
      <formula1>IF(G$81=1,$K$60-30,G$79)</formula1>
      <formula2>$G$80</formula2>
    </dataValidation>
    <dataValidation type="date" allowBlank="1" showInputMessage="1" showErrorMessage="1" errorTitle="Chybný datum" error="Datum začátku klouz.kapacity není v rozmezí pro fakturovaný měsíc. Může být minimálně od 2.dne předcházejícího měsíce a maximálně do konce fakturovaného měsíce." sqref="N29" xr:uid="{34874163-7F11-419B-8A0D-C98CB0B8C950}">
      <formula1>IF(H$81=1,$K$60-30,H$79)</formula1>
      <formula2>$H$80</formula2>
    </dataValidation>
  </dataValidation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14D93-E91E-4075-8921-2E10FBCFF2D2}">
  <sheetPr codeName="List12"/>
  <dimension ref="A1:P62"/>
  <sheetViews>
    <sheetView zoomScale="70" zoomScaleNormal="70" workbookViewId="0">
      <selection activeCell="D29" sqref="D29:F29"/>
    </sheetView>
  </sheetViews>
  <sheetFormatPr defaultColWidth="9.33203125" defaultRowHeight="14.4" x14ac:dyDescent="0.3"/>
  <cols>
    <col min="2" max="2" width="10.33203125" customWidth="1"/>
    <col min="3" max="4" width="16.33203125" customWidth="1"/>
    <col min="5" max="5" width="15.5546875" bestFit="1" customWidth="1"/>
    <col min="6" max="6" width="14.6640625" bestFit="1" customWidth="1"/>
    <col min="7" max="7" width="22.33203125" customWidth="1"/>
    <col min="8" max="8" width="14.33203125" customWidth="1"/>
    <col min="9" max="9" width="16.44140625" customWidth="1"/>
    <col min="10" max="10" width="16" bestFit="1" customWidth="1"/>
    <col min="11" max="11" width="20.6640625" customWidth="1"/>
    <col min="12" max="12" width="17.33203125" bestFit="1" customWidth="1"/>
    <col min="13" max="13" width="18" bestFit="1" customWidth="1"/>
    <col min="14" max="14" width="54.5546875" customWidth="1"/>
  </cols>
  <sheetData>
    <row r="1" spans="1:16" ht="100.8" x14ac:dyDescent="0.3">
      <c r="B1" s="259" t="s">
        <v>231</v>
      </c>
      <c r="C1" s="40" t="s">
        <v>46</v>
      </c>
      <c r="D1" s="260" t="s">
        <v>46</v>
      </c>
      <c r="E1" s="261" t="s">
        <v>47</v>
      </c>
      <c r="G1" s="262" t="s">
        <v>232</v>
      </c>
      <c r="H1" s="262" t="s">
        <v>233</v>
      </c>
      <c r="I1" s="263"/>
      <c r="J1" s="264" t="s">
        <v>234</v>
      </c>
      <c r="K1" s="265" t="s">
        <v>411</v>
      </c>
    </row>
    <row r="2" spans="1:16" x14ac:dyDescent="0.3">
      <c r="B2" s="266" t="s">
        <v>410</v>
      </c>
      <c r="C2" s="767" t="s">
        <v>235</v>
      </c>
      <c r="D2" s="767"/>
      <c r="E2" s="767"/>
      <c r="F2" s="768" t="s">
        <v>236</v>
      </c>
      <c r="G2" s="768"/>
      <c r="H2" s="768" t="s">
        <v>237</v>
      </c>
      <c r="I2" s="768"/>
    </row>
    <row r="3" spans="1:16" x14ac:dyDescent="0.3">
      <c r="B3" s="267"/>
      <c r="C3" s="268" t="s">
        <v>238</v>
      </c>
      <c r="D3" s="269" t="s">
        <v>55</v>
      </c>
      <c r="E3" s="269" t="s">
        <v>186</v>
      </c>
      <c r="F3" s="269" t="s">
        <v>148</v>
      </c>
      <c r="G3" s="270" t="s">
        <v>150</v>
      </c>
      <c r="H3" s="269" t="s">
        <v>148</v>
      </c>
      <c r="I3" s="270" t="s">
        <v>150</v>
      </c>
    </row>
    <row r="4" spans="1:16" x14ac:dyDescent="0.3">
      <c r="B4" s="267"/>
      <c r="C4" s="268" t="s">
        <v>53</v>
      </c>
      <c r="D4" s="271">
        <f>'Klasik, CNG, M3R, výrobce'!F45</f>
        <v>2.8239999999999998E-2</v>
      </c>
      <c r="E4" s="271">
        <f>'Klasik, CNG, M3R, výrobce'!K45</f>
        <v>7.4740000000000001E-2</v>
      </c>
      <c r="F4" s="272">
        <f>'Klasik, CNG, M3R, výrobce'!G45</f>
        <v>532.32860000000005</v>
      </c>
      <c r="G4" s="272">
        <f>'Klasik, CNG, M3R, výrobce'!I45</f>
        <v>-28.5428</v>
      </c>
      <c r="H4" s="272">
        <f>'Klasik, CNG, M3R, výrobce'!L45</f>
        <v>605.41539999999998</v>
      </c>
      <c r="I4" s="272">
        <f>'Klasik, CNG, M3R, výrobce'!N45</f>
        <v>-28.5428</v>
      </c>
    </row>
    <row r="5" spans="1:16" x14ac:dyDescent="0.3">
      <c r="B5" s="267"/>
      <c r="C5" s="273" t="s">
        <v>154</v>
      </c>
      <c r="D5" s="271">
        <f>'Klasik, CNG, M3R, výrobce'!F46</f>
        <v>3.7069999999999999E-2</v>
      </c>
      <c r="E5" s="271">
        <f>'Klasik, CNG, M3R, výrobce'!K46</f>
        <v>0.13347000000000001</v>
      </c>
      <c r="F5" s="272">
        <f>'Klasik, CNG, M3R, výrobce'!G46</f>
        <v>449.0147</v>
      </c>
      <c r="G5" s="272">
        <f>'Klasik, CNG, M3R, výrobce'!I46</f>
        <v>-6.5753000000000004</v>
      </c>
      <c r="H5" s="272">
        <f>'Klasik, CNG, M3R, výrobce'!L46</f>
        <v>528.28</v>
      </c>
      <c r="I5" s="272">
        <f>'Klasik, CNG, M3R, výrobce'!N46</f>
        <v>-6.5753000000000004</v>
      </c>
    </row>
    <row r="6" spans="1:16" x14ac:dyDescent="0.3">
      <c r="B6" s="267"/>
      <c r="C6" s="274" t="s">
        <v>239</v>
      </c>
      <c r="D6" s="275">
        <f>'Klasik, CNG, M3R, výrobce'!F53</f>
        <v>4.0600000000000002E-3</v>
      </c>
      <c r="E6" s="267"/>
      <c r="F6" s="276"/>
      <c r="G6" s="267"/>
      <c r="H6" s="267"/>
      <c r="I6" s="263"/>
      <c r="J6" s="277" t="s">
        <v>116</v>
      </c>
      <c r="K6" s="278" t="e">
        <f>K8/F10-100%</f>
        <v>#DIV/0!</v>
      </c>
    </row>
    <row r="7" spans="1:16" s="267" customFormat="1" ht="28.8" x14ac:dyDescent="0.3">
      <c r="F7" s="276"/>
      <c r="I7" s="263"/>
      <c r="J7" s="279" t="s">
        <v>240</v>
      </c>
      <c r="K7" s="280">
        <f>F10*1.038</f>
        <v>0</v>
      </c>
      <c r="M7"/>
      <c r="N7" s="281"/>
    </row>
    <row r="8" spans="1:16" s="267" customFormat="1" ht="28.8" x14ac:dyDescent="0.3">
      <c r="C8" s="769" t="s">
        <v>241</v>
      </c>
      <c r="D8" s="770"/>
      <c r="E8" s="367">
        <f>'Výpočet ceny distribuce'!F65</f>
        <v>0</v>
      </c>
      <c r="F8" s="282"/>
      <c r="G8" s="282"/>
      <c r="H8" s="282"/>
      <c r="I8" s="263"/>
      <c r="J8" s="283" t="s">
        <v>242</v>
      </c>
      <c r="K8" s="368">
        <f>'Výpočet ceny distribuce'!E67</f>
        <v>0</v>
      </c>
      <c r="L8" s="284">
        <f>K8/24</f>
        <v>0</v>
      </c>
      <c r="M8"/>
      <c r="N8" s="281"/>
    </row>
    <row r="9" spans="1:16" s="267" customFormat="1" ht="28.8" x14ac:dyDescent="0.3">
      <c r="C9" s="285" t="s">
        <v>243</v>
      </c>
      <c r="D9" s="368" t="str">
        <f>VLOOKUP('ovládací prvky'!C28,'ovládací prvky'!A29:B30,2,FALSE)</f>
        <v>ne</v>
      </c>
      <c r="E9" s="286" t="s">
        <v>244</v>
      </c>
      <c r="F9" s="283" t="s">
        <v>245</v>
      </c>
      <c r="G9" s="283" t="s">
        <v>246</v>
      </c>
      <c r="H9" s="283" t="s">
        <v>247</v>
      </c>
      <c r="I9" s="263"/>
      <c r="J9" s="287" t="s">
        <v>248</v>
      </c>
      <c r="K9" s="288">
        <f>IF(K8&gt;K7,K8-F10,)</f>
        <v>0</v>
      </c>
      <c r="L9" s="289"/>
      <c r="M9"/>
      <c r="N9" s="281"/>
    </row>
    <row r="10" spans="1:16" s="267" customFormat="1" ht="28.8" x14ac:dyDescent="0.3">
      <c r="B10" s="290" t="s">
        <v>249</v>
      </c>
      <c r="C10" s="272"/>
      <c r="D10" s="291">
        <f>IF(F11=0,IF($H$10&lt;519,519,$H$10),IF(D9="ano",IF($H$10&lt;519,519,$H$10),IF($H$10&lt;519,519,IF($H$10&lt;$D$11,$H$10,IF($D$11&lt;519,519,$D$11)))))</f>
        <v>519</v>
      </c>
      <c r="E10" s="292">
        <f>IF(F10&lt;519,519,F10)</f>
        <v>519</v>
      </c>
      <c r="F10" s="367">
        <f>'Výpočet ceny distribuce'!F58</f>
        <v>0</v>
      </c>
      <c r="G10" s="367">
        <f>'Výpočet ceny distribuce'!F59</f>
        <v>0</v>
      </c>
      <c r="H10" s="288">
        <f>F10+G10</f>
        <v>0</v>
      </c>
      <c r="I10" s="263"/>
      <c r="J10" s="293" t="s">
        <v>250</v>
      </c>
      <c r="K10" s="294">
        <f>VLOOKUP(K11,'Klasik, CNG, M3R, výrobce'!E60:G71,3,FALSE)</f>
        <v>1.43</v>
      </c>
      <c r="L10" s="295"/>
      <c r="M10"/>
      <c r="N10" s="281"/>
    </row>
    <row r="11" spans="1:16" s="267" customFormat="1" ht="28.8" x14ac:dyDescent="0.3">
      <c r="B11" s="296" t="s">
        <v>251</v>
      </c>
      <c r="C11" s="297"/>
      <c r="D11" s="292">
        <f>F11*1.2</f>
        <v>0</v>
      </c>
      <c r="F11" s="368">
        <f>'Výpočet ceny distribuce'!F60</f>
        <v>0</v>
      </c>
      <c r="G11" s="297" t="s">
        <v>252</v>
      </c>
      <c r="H11" s="297"/>
      <c r="I11" s="263"/>
      <c r="J11" s="287" t="s">
        <v>253</v>
      </c>
      <c r="K11" s="369" t="str">
        <f>VLOOKUP('ovládací prvky'!F13,'ovládací prvky'!B14:C25,2,FALSE)</f>
        <v>Leden</v>
      </c>
      <c r="L11" s="263"/>
      <c r="M11"/>
      <c r="N11" s="281"/>
    </row>
    <row r="13" spans="1:16" s="267" customFormat="1" ht="53.25" customHeight="1" x14ac:dyDescent="0.3">
      <c r="B13" t="s">
        <v>254</v>
      </c>
      <c r="D13"/>
      <c r="E13"/>
      <c r="F13" t="s">
        <v>1</v>
      </c>
      <c r="G13" s="771" t="s">
        <v>255</v>
      </c>
      <c r="H13" s="771"/>
      <c r="I13" s="771"/>
      <c r="J13" s="298" t="str">
        <f>'Klasik, CNG, M3R, výrobce'!E55</f>
        <v>40000 Kč/tis.m3</v>
      </c>
      <c r="K13"/>
      <c r="M13"/>
      <c r="N13" s="281"/>
    </row>
    <row r="14" spans="1:16" s="267" customFormat="1" ht="60" customHeight="1" x14ac:dyDescent="0.3">
      <c r="A14" s="287" t="s">
        <v>314</v>
      </c>
      <c r="B14" s="135" t="s">
        <v>146</v>
      </c>
      <c r="C14" s="135" t="s">
        <v>256</v>
      </c>
      <c r="D14" s="135" t="s">
        <v>257</v>
      </c>
      <c r="E14" s="337" t="s">
        <v>258</v>
      </c>
      <c r="F14" s="135" t="s">
        <v>259</v>
      </c>
      <c r="G14" s="135" t="s">
        <v>260</v>
      </c>
      <c r="H14" s="135" t="s">
        <v>261</v>
      </c>
      <c r="I14" s="299" t="s">
        <v>262</v>
      </c>
      <c r="J14" s="300" t="s">
        <v>263</v>
      </c>
      <c r="K14" s="287" t="s">
        <v>264</v>
      </c>
      <c r="L14" s="297" t="s">
        <v>265</v>
      </c>
      <c r="M14" s="297" t="s">
        <v>138</v>
      </c>
      <c r="O14" s="267" t="s">
        <v>312</v>
      </c>
      <c r="P14" s="267" t="s">
        <v>313</v>
      </c>
    </row>
    <row r="15" spans="1:16" s="267" customFormat="1" x14ac:dyDescent="0.3">
      <c r="A15" s="267" t="str">
        <f>CONCATENATE(O15,P15)</f>
        <v>21</v>
      </c>
      <c r="B15" s="277" t="s">
        <v>53</v>
      </c>
      <c r="C15" s="301" t="s">
        <v>55</v>
      </c>
      <c r="D15" s="302">
        <f>ROUND($F4+$G4*LN($D$10),5)</f>
        <v>353.88175999999999</v>
      </c>
      <c r="E15" s="302">
        <f>ROUND($F4+$G4*LN($E$10),5)</f>
        <v>353.88175999999999</v>
      </c>
      <c r="F15" s="302">
        <f>D15/427.6</f>
        <v>0.82759999999999989</v>
      </c>
      <c r="G15" s="302">
        <f>40/427.6</f>
        <v>9.3545369504209538E-2</v>
      </c>
      <c r="H15" s="302">
        <f>IF(F15&gt;G15,ROUND(F15+$D4+0.02,5),ROUND(G15+$D4+0.02,5))</f>
        <v>0.87583999999999995</v>
      </c>
      <c r="I15" s="303">
        <f>ROUND($E$8*H15,2)</f>
        <v>0</v>
      </c>
      <c r="J15" s="303">
        <f>ROUND($E$8*$D$6,2)</f>
        <v>0</v>
      </c>
      <c r="K15" s="304">
        <f>IF($K$9&gt;0, ($K$9)*$E15*$K$10, 0)</f>
        <v>0</v>
      </c>
      <c r="L15" s="305">
        <f>I15+J15+K15</f>
        <v>0</v>
      </c>
      <c r="M15" s="306">
        <f>L15*1.21</f>
        <v>0</v>
      </c>
      <c r="N15" s="307" t="s">
        <v>266</v>
      </c>
      <c r="O15" s="317">
        <v>2</v>
      </c>
      <c r="P15" s="317">
        <v>1</v>
      </c>
    </row>
    <row r="16" spans="1:16" s="267" customFormat="1" x14ac:dyDescent="0.3">
      <c r="A16" s="267" t="str">
        <f>CONCATENATE(O16,P16)</f>
        <v>11</v>
      </c>
      <c r="B16" s="277" t="s">
        <v>53</v>
      </c>
      <c r="C16" s="301" t="s">
        <v>186</v>
      </c>
      <c r="D16" s="302">
        <f>ROUND($H4+$I4*LN($D$10),5)</f>
        <v>426.96856000000002</v>
      </c>
      <c r="E16" s="302">
        <f>ROUND($H4+$I4*LN($E$10),5)</f>
        <v>426.96856000000002</v>
      </c>
      <c r="F16" s="302">
        <f>D16/427.6</f>
        <v>0.99852329279700658</v>
      </c>
      <c r="G16" s="302">
        <f>40/427.6</f>
        <v>9.3545369504209538E-2</v>
      </c>
      <c r="H16" s="302">
        <f>IF(F16&gt;G16,ROUND(F16+$E4+0.02,5),ROUND(G16+$E4+0.02,5))</f>
        <v>1.0932599999999999</v>
      </c>
      <c r="I16" s="303">
        <f>ROUND($E$8*H16,2)</f>
        <v>0</v>
      </c>
      <c r="J16" s="303">
        <f>ROUND($E$8*$D$6,2)</f>
        <v>0</v>
      </c>
      <c r="K16" s="304">
        <f>IF($K$9&gt;0, ($K$9)*$E16*$K$10, 0)</f>
        <v>0</v>
      </c>
      <c r="L16" s="305">
        <f>I16+J16+K16</f>
        <v>0</v>
      </c>
      <c r="M16" s="306">
        <f>L16*1.21</f>
        <v>0</v>
      </c>
      <c r="N16" s="307" t="s">
        <v>267</v>
      </c>
      <c r="O16" s="317">
        <v>1</v>
      </c>
      <c r="P16" s="317">
        <v>1</v>
      </c>
    </row>
    <row r="17" spans="1:16" s="267" customFormat="1" x14ac:dyDescent="0.3">
      <c r="A17" s="267" t="str">
        <f>CONCATENATE(O17,P17)</f>
        <v>22</v>
      </c>
      <c r="B17" s="297" t="s">
        <v>154</v>
      </c>
      <c r="C17" s="301" t="s">
        <v>55</v>
      </c>
      <c r="D17" s="302">
        <f>ROUND($F5+$G5*LN($D$10),5)</f>
        <v>407.90656000000001</v>
      </c>
      <c r="E17" s="302">
        <f>ROUND($F5+$G5*LN($E$10),5)</f>
        <v>407.90656000000001</v>
      </c>
      <c r="F17" s="302">
        <f>D17/427.6</f>
        <v>0.95394424695977542</v>
      </c>
      <c r="G17" s="302">
        <f>40/427.6</f>
        <v>9.3545369504209538E-2</v>
      </c>
      <c r="H17" s="302">
        <f>IF(F17&gt;G17,ROUND(F17+$D5+0.02,5),ROUND(G17+$D5+0.02,5))</f>
        <v>1.01101</v>
      </c>
      <c r="I17" s="303">
        <f>ROUND($E$8*H17,2)</f>
        <v>0</v>
      </c>
      <c r="J17" s="303">
        <f>ROUND($E$8*$D$6,2)</f>
        <v>0</v>
      </c>
      <c r="K17" s="304">
        <f t="shared" ref="K17" si="0">IF($K$9&gt;0, ($K$9)*$E17*$K$10, 0)</f>
        <v>0</v>
      </c>
      <c r="L17" s="305">
        <f>I17+J17+K17</f>
        <v>0</v>
      </c>
      <c r="M17" s="306">
        <f>L17*1.21</f>
        <v>0</v>
      </c>
      <c r="O17" s="317">
        <v>2</v>
      </c>
      <c r="P17" s="317">
        <v>2</v>
      </c>
    </row>
    <row r="18" spans="1:16" s="267" customFormat="1" x14ac:dyDescent="0.3">
      <c r="A18" s="267" t="str">
        <f>CONCATENATE(O18,P18)</f>
        <v>12</v>
      </c>
      <c r="B18" s="297" t="s">
        <v>154</v>
      </c>
      <c r="C18" s="301" t="s">
        <v>186</v>
      </c>
      <c r="D18" s="302">
        <f>ROUND($H5+$I5*LN($D$10),5)</f>
        <v>487.17185999999998</v>
      </c>
      <c r="E18" s="302">
        <f>ROUND($H5+$I5*LN($E$10),5)</f>
        <v>487.17185999999998</v>
      </c>
      <c r="F18" s="302">
        <f>D18/427.6</f>
        <v>1.1393167913938258</v>
      </c>
      <c r="G18" s="302">
        <f>40/427.6</f>
        <v>9.3545369504209538E-2</v>
      </c>
      <c r="H18" s="302">
        <f>IF(F18&gt;G18,ROUND(F18+$E5+0.02,5),ROUND(G18+$E5+0.02,5))</f>
        <v>1.2927900000000001</v>
      </c>
      <c r="I18" s="303">
        <f>ROUND($E$8*H18,2)</f>
        <v>0</v>
      </c>
      <c r="J18" s="303">
        <f>ROUND($E$8*$D$6,2)</f>
        <v>0</v>
      </c>
      <c r="K18" s="304">
        <f>IF($K$9&gt;0, ($K$9)*$E18*$K$10, 0)</f>
        <v>0</v>
      </c>
      <c r="L18" s="305">
        <f>I18+J18+K18</f>
        <v>0</v>
      </c>
      <c r="M18" s="306">
        <f>L18*1.21</f>
        <v>0</v>
      </c>
      <c r="O18" s="317">
        <v>1</v>
      </c>
      <c r="P18" s="317">
        <v>2</v>
      </c>
    </row>
    <row r="19" spans="1:16" s="267" customFormat="1" ht="40.950000000000003" customHeight="1" x14ac:dyDescent="0.3">
      <c r="A19" s="318" t="str">
        <f>CONCATENATE(O19,P19)</f>
        <v>21</v>
      </c>
      <c r="C19" s="325" t="s">
        <v>311</v>
      </c>
      <c r="D19" s="320">
        <f>VLOOKUP($A$19,$A$15:$M$18,4,FALSE)</f>
        <v>353.88175999999999</v>
      </c>
      <c r="E19" s="322">
        <f>VLOOKUP($A$19,$A$15:$M$18,5,FALSE)</f>
        <v>353.88175999999999</v>
      </c>
      <c r="F19" s="322">
        <f>VLOOKUP($A$19,$A$15:$M$18,6,FALSE)</f>
        <v>0.82759999999999989</v>
      </c>
      <c r="G19" s="322">
        <f>VLOOKUP($A$19,$A$15:$M$18,7,FALSE)</f>
        <v>9.3545369504209538E-2</v>
      </c>
      <c r="H19" s="322">
        <f>VLOOKUP($A$19,$A$15:$M$18,8,FALSE)</f>
        <v>0.87583999999999995</v>
      </c>
      <c r="I19" s="320">
        <f>VLOOKUP($A$19,$A$15:$M$18,9,FALSE)</f>
        <v>0</v>
      </c>
      <c r="J19" s="320">
        <f>VLOOKUP($A$19,$A$15:$M$18,10,FALSE)</f>
        <v>0</v>
      </c>
      <c r="K19" s="320">
        <f>VLOOKUP($A$19,$A$15:$M$18,11,FALSE)</f>
        <v>0</v>
      </c>
      <c r="L19" s="319">
        <f>VLOOKUP(A19,A15:M18,12,FALSE)</f>
        <v>0</v>
      </c>
      <c r="M19" s="319">
        <f>VLOOKUP(A19,A15:M18,13,FALSE)</f>
        <v>0</v>
      </c>
      <c r="O19" s="317">
        <f>'ovládací prvky'!H2</f>
        <v>2</v>
      </c>
      <c r="P19" s="317">
        <f>'ovládací prvky'!J2</f>
        <v>1</v>
      </c>
    </row>
    <row r="20" spans="1:16" s="263" customFormat="1" x14ac:dyDescent="0.3">
      <c r="B20" s="267"/>
      <c r="C20"/>
      <c r="D20" s="308"/>
      <c r="E20" s="308"/>
      <c r="F20" s="308"/>
      <c r="G20" s="308"/>
      <c r="H20" s="308"/>
      <c r="I20" s="308"/>
      <c r="J20" s="308"/>
      <c r="K20" s="308"/>
      <c r="L20" s="308"/>
      <c r="M20" s="308"/>
      <c r="N20" s="267"/>
    </row>
    <row r="21" spans="1:16" s="263" customFormat="1" x14ac:dyDescent="0.3">
      <c r="C21" t="s">
        <v>268</v>
      </c>
      <c r="D21"/>
      <c r="E21"/>
      <c r="F21"/>
      <c r="G21"/>
      <c r="H21"/>
      <c r="K21" s="764" t="s">
        <v>269</v>
      </c>
      <c r="M21" s="267"/>
      <c r="N21" s="267"/>
    </row>
    <row r="22" spans="1:16" s="263" customFormat="1" x14ac:dyDescent="0.3">
      <c r="C22" t="s">
        <v>270</v>
      </c>
      <c r="D22"/>
      <c r="E22"/>
      <c r="F22"/>
      <c r="G22"/>
      <c r="H22"/>
      <c r="K22" s="764"/>
      <c r="M22" s="267"/>
      <c r="N22" s="267"/>
    </row>
    <row r="23" spans="1:16" s="263" customFormat="1" x14ac:dyDescent="0.3">
      <c r="C23"/>
      <c r="D23"/>
      <c r="E23"/>
      <c r="F23"/>
      <c r="G23"/>
      <c r="H23"/>
      <c r="K23" s="764"/>
      <c r="L23" s="267"/>
      <c r="M23" s="267"/>
      <c r="N23" s="267"/>
    </row>
    <row r="24" spans="1:16" s="263" customFormat="1" x14ac:dyDescent="0.3">
      <c r="C24" s="309" t="s">
        <v>271</v>
      </c>
      <c r="D24"/>
      <c r="E24"/>
      <c r="F24"/>
      <c r="G24"/>
      <c r="H24"/>
      <c r="K24" s="764"/>
      <c r="M24" s="267"/>
      <c r="N24" s="267"/>
    </row>
    <row r="25" spans="1:16" s="263" customFormat="1" x14ac:dyDescent="0.3">
      <c r="C25" t="s">
        <v>272</v>
      </c>
      <c r="D25"/>
      <c r="E25"/>
      <c r="F25"/>
      <c r="G25"/>
      <c r="H25"/>
      <c r="K25" s="764"/>
      <c r="L25" s="267"/>
      <c r="M25" s="267"/>
      <c r="N25" s="267"/>
    </row>
    <row r="26" spans="1:16" s="263" customFormat="1" ht="56.7" customHeight="1" x14ac:dyDescent="0.3">
      <c r="C26" s="765" t="s">
        <v>273</v>
      </c>
      <c r="D26" s="765"/>
      <c r="E26" s="765"/>
      <c r="F26" s="765"/>
      <c r="G26" s="765"/>
      <c r="H26"/>
      <c r="K26" s="764"/>
      <c r="L26" s="267"/>
      <c r="M26" s="267"/>
      <c r="N26" s="267"/>
    </row>
    <row r="27" spans="1:16" s="263" customFormat="1" x14ac:dyDescent="0.3">
      <c r="C27" t="s">
        <v>274</v>
      </c>
      <c r="D27"/>
      <c r="E27"/>
      <c r="F27"/>
      <c r="G27"/>
      <c r="H27"/>
      <c r="K27" s="764"/>
      <c r="M27" s="267"/>
      <c r="N27" s="267"/>
    </row>
    <row r="28" spans="1:16" s="263" customFormat="1" x14ac:dyDescent="0.3">
      <c r="C28" t="s">
        <v>275</v>
      </c>
      <c r="D28"/>
      <c r="E28"/>
      <c r="F28"/>
      <c r="G28"/>
      <c r="H28"/>
      <c r="K28" s="764"/>
      <c r="L28" s="267"/>
      <c r="M28" s="267"/>
      <c r="N28" s="267"/>
    </row>
    <row r="29" spans="1:16" s="263" customFormat="1" x14ac:dyDescent="0.3">
      <c r="C29"/>
      <c r="D29"/>
      <c r="E29"/>
      <c r="F29"/>
      <c r="G29"/>
      <c r="H29"/>
      <c r="K29" s="764"/>
      <c r="M29" s="267"/>
      <c r="N29" s="267"/>
    </row>
    <row r="30" spans="1:16" s="263" customFormat="1" x14ac:dyDescent="0.3">
      <c r="C30" s="310" t="s">
        <v>276</v>
      </c>
      <c r="D30" s="310"/>
      <c r="E30" s="311"/>
      <c r="F30" s="311"/>
      <c r="G30" s="311"/>
      <c r="H30" s="311"/>
      <c r="K30" s="764"/>
      <c r="L30" s="267"/>
      <c r="M30" s="267"/>
      <c r="N30" s="267"/>
    </row>
    <row r="31" spans="1:16" s="263" customFormat="1" x14ac:dyDescent="0.3">
      <c r="C31" s="766" t="s">
        <v>277</v>
      </c>
      <c r="D31" s="766"/>
      <c r="E31" s="766"/>
      <c r="F31" s="766"/>
      <c r="G31" s="766"/>
      <c r="H31" s="766"/>
      <c r="I31" s="766"/>
      <c r="K31" s="764"/>
      <c r="L31" s="267"/>
      <c r="M31" s="267"/>
      <c r="N31" s="267"/>
    </row>
    <row r="32" spans="1:16" s="263" customFormat="1" x14ac:dyDescent="0.3">
      <c r="C32" s="766" t="s">
        <v>278</v>
      </c>
      <c r="D32" s="766"/>
      <c r="E32" s="311"/>
      <c r="F32" s="311"/>
      <c r="G32" s="311"/>
      <c r="H32" s="311"/>
      <c r="I32" s="312"/>
      <c r="K32" s="764"/>
      <c r="L32" s="267"/>
      <c r="M32" s="267"/>
      <c r="N32" s="267"/>
    </row>
    <row r="33" spans="2:14" s="263" customFormat="1" x14ac:dyDescent="0.3">
      <c r="C33" s="313"/>
      <c r="D33" s="314" t="s">
        <v>279</v>
      </c>
      <c r="E33" s="314"/>
      <c r="F33" s="314"/>
      <c r="G33" s="314"/>
      <c r="H33" s="314"/>
      <c r="I33" s="312"/>
      <c r="K33" s="764"/>
      <c r="L33" s="267"/>
      <c r="M33" s="267"/>
      <c r="N33" s="267"/>
    </row>
    <row r="34" spans="2:14" s="263" customFormat="1" x14ac:dyDescent="0.3">
      <c r="C34" s="313"/>
      <c r="D34" s="314" t="s">
        <v>280</v>
      </c>
      <c r="E34" s="314"/>
      <c r="F34" s="314"/>
      <c r="G34" s="314"/>
      <c r="H34" s="314"/>
      <c r="I34" s="315"/>
      <c r="K34" s="764"/>
      <c r="L34" s="267"/>
      <c r="M34" s="267"/>
      <c r="N34" s="267"/>
    </row>
    <row r="35" spans="2:14" s="263" customFormat="1" x14ac:dyDescent="0.3">
      <c r="C35" s="313"/>
      <c r="D35" s="314" t="s">
        <v>281</v>
      </c>
      <c r="E35" s="314"/>
      <c r="F35" s="314"/>
      <c r="G35" s="314"/>
      <c r="H35" s="314"/>
      <c r="I35" s="315"/>
      <c r="K35" s="764"/>
      <c r="L35" s="267"/>
      <c r="M35" s="267"/>
      <c r="N35" s="267"/>
    </row>
    <row r="36" spans="2:14" s="263" customFormat="1" x14ac:dyDescent="0.3">
      <c r="C36" s="313"/>
      <c r="D36" s="314" t="s">
        <v>333</v>
      </c>
      <c r="E36" s="314"/>
      <c r="F36" s="314"/>
      <c r="G36" s="314"/>
      <c r="H36" s="314"/>
      <c r="I36" s="315"/>
      <c r="K36" s="764"/>
      <c r="L36" s="267"/>
      <c r="M36" s="267"/>
      <c r="N36" s="267"/>
    </row>
    <row r="37" spans="2:14" s="263" customFormat="1" x14ac:dyDescent="0.3">
      <c r="C37" s="314" t="s">
        <v>282</v>
      </c>
      <c r="D37" s="314"/>
      <c r="E37" s="314"/>
      <c r="F37" s="314"/>
      <c r="G37" s="314"/>
      <c r="H37" s="314"/>
      <c r="I37" s="312"/>
      <c r="K37" s="764"/>
      <c r="L37" s="267"/>
      <c r="M37" s="267"/>
      <c r="N37" s="267"/>
    </row>
    <row r="38" spans="2:14" s="267" customFormat="1" x14ac:dyDescent="0.3">
      <c r="B38" s="263"/>
      <c r="C38" s="314" t="s">
        <v>283</v>
      </c>
      <c r="D38" s="314"/>
      <c r="E38" s="314"/>
      <c r="F38" s="314"/>
      <c r="G38" s="314"/>
      <c r="H38" s="314"/>
      <c r="I38" s="312"/>
      <c r="J38" s="263"/>
      <c r="K38" s="764"/>
    </row>
    <row r="39" spans="2:14" s="267" customFormat="1" x14ac:dyDescent="0.3">
      <c r="B39" s="263"/>
      <c r="C39" s="314" t="s">
        <v>284</v>
      </c>
      <c r="D39" s="314"/>
      <c r="E39" s="314"/>
      <c r="F39" s="314"/>
      <c r="G39" s="314"/>
      <c r="H39" s="314"/>
      <c r="I39" s="315"/>
      <c r="J39" s="263"/>
      <c r="K39" s="764"/>
    </row>
    <row r="40" spans="2:14" s="267" customFormat="1" ht="307.2" customHeight="1" x14ac:dyDescent="0.3">
      <c r="B40" s="263"/>
      <c r="C40" s="316" t="s">
        <v>285</v>
      </c>
      <c r="D40" s="314"/>
      <c r="E40" s="314"/>
      <c r="F40" s="314"/>
      <c r="G40" s="314"/>
      <c r="H40" s="314"/>
      <c r="I40" s="315"/>
      <c r="J40" s="263"/>
      <c r="K40" s="764"/>
    </row>
    <row r="41" spans="2:14" s="1" customFormat="1" x14ac:dyDescent="0.3">
      <c r="B41" s="1" t="s">
        <v>316</v>
      </c>
      <c r="C41" s="321" t="s">
        <v>300</v>
      </c>
      <c r="D41" s="1" t="s">
        <v>312</v>
      </c>
      <c r="E41" s="1" t="s">
        <v>315</v>
      </c>
    </row>
    <row r="42" spans="2:14" x14ac:dyDescent="0.3">
      <c r="C42">
        <v>1240313632</v>
      </c>
      <c r="D42">
        <v>21</v>
      </c>
      <c r="E42" s="264">
        <v>43344</v>
      </c>
    </row>
    <row r="43" spans="2:14" x14ac:dyDescent="0.3">
      <c r="C43">
        <v>1240314205</v>
      </c>
      <c r="D43">
        <v>21</v>
      </c>
      <c r="E43" s="264">
        <v>43344</v>
      </c>
    </row>
    <row r="44" spans="2:14" x14ac:dyDescent="0.3">
      <c r="C44">
        <v>2240000238</v>
      </c>
      <c r="D44">
        <v>21</v>
      </c>
      <c r="E44" s="264">
        <v>40909</v>
      </c>
    </row>
    <row r="45" spans="2:14" x14ac:dyDescent="0.3">
      <c r="C45">
        <v>2240000270</v>
      </c>
      <c r="D45">
        <v>21</v>
      </c>
      <c r="E45" s="264">
        <v>40909</v>
      </c>
    </row>
    <row r="46" spans="2:14" x14ac:dyDescent="0.3">
      <c r="C46">
        <v>2240001658</v>
      </c>
      <c r="D46">
        <v>22</v>
      </c>
      <c r="E46" s="264">
        <v>44197</v>
      </c>
    </row>
    <row r="47" spans="2:14" x14ac:dyDescent="0.3">
      <c r="C47">
        <v>2240002315</v>
      </c>
      <c r="D47">
        <v>21</v>
      </c>
      <c r="E47" s="264">
        <v>42370</v>
      </c>
    </row>
    <row r="48" spans="2:14" x14ac:dyDescent="0.3">
      <c r="C48">
        <v>2240674783</v>
      </c>
      <c r="D48">
        <v>21</v>
      </c>
      <c r="E48" s="264">
        <v>42370</v>
      </c>
    </row>
    <row r="49" spans="3:5" x14ac:dyDescent="0.3">
      <c r="C49">
        <v>2240700893</v>
      </c>
      <c r="D49">
        <v>22</v>
      </c>
      <c r="E49" s="264">
        <v>43497</v>
      </c>
    </row>
    <row r="50" spans="3:5" x14ac:dyDescent="0.3">
      <c r="C50">
        <v>3240000020</v>
      </c>
      <c r="D50">
        <v>21</v>
      </c>
      <c r="E50" s="264">
        <v>41275</v>
      </c>
    </row>
    <row r="51" spans="3:5" x14ac:dyDescent="0.3">
      <c r="C51">
        <v>3240000262</v>
      </c>
      <c r="D51">
        <v>22</v>
      </c>
      <c r="E51" s="264">
        <v>41640</v>
      </c>
    </row>
    <row r="52" spans="3:5" x14ac:dyDescent="0.3">
      <c r="C52">
        <v>3240001255</v>
      </c>
      <c r="D52">
        <v>21</v>
      </c>
      <c r="E52" s="264">
        <v>42370</v>
      </c>
    </row>
    <row r="53" spans="3:5" x14ac:dyDescent="0.3">
      <c r="C53">
        <v>3240001323</v>
      </c>
      <c r="D53">
        <v>22</v>
      </c>
      <c r="E53" s="264">
        <v>44197</v>
      </c>
    </row>
    <row r="54" spans="3:5" x14ac:dyDescent="0.3">
      <c r="C54">
        <v>3240001426</v>
      </c>
      <c r="D54">
        <v>21</v>
      </c>
      <c r="E54" s="264">
        <v>44197</v>
      </c>
    </row>
    <row r="55" spans="3:5" x14ac:dyDescent="0.3">
      <c r="C55">
        <v>4240246583</v>
      </c>
      <c r="D55">
        <v>21</v>
      </c>
      <c r="E55" s="264">
        <v>43831</v>
      </c>
    </row>
    <row r="56" spans="3:5" x14ac:dyDescent="0.3">
      <c r="C56">
        <v>4240246809</v>
      </c>
      <c r="D56">
        <v>21</v>
      </c>
      <c r="E56" s="264">
        <v>40179</v>
      </c>
    </row>
    <row r="57" spans="3:5" x14ac:dyDescent="0.3">
      <c r="C57">
        <v>4240246900</v>
      </c>
      <c r="D57">
        <v>21</v>
      </c>
      <c r="E57" s="264">
        <v>43101</v>
      </c>
    </row>
    <row r="58" spans="3:5" x14ac:dyDescent="0.3">
      <c r="C58">
        <v>4240274815</v>
      </c>
      <c r="D58">
        <v>22</v>
      </c>
      <c r="E58" s="264">
        <v>42926</v>
      </c>
    </row>
    <row r="59" spans="3:5" x14ac:dyDescent="0.3">
      <c r="C59">
        <v>5240581099</v>
      </c>
      <c r="D59">
        <v>22</v>
      </c>
      <c r="E59" s="264">
        <v>44197</v>
      </c>
    </row>
    <row r="60" spans="3:5" x14ac:dyDescent="0.3">
      <c r="C60">
        <v>5240581312</v>
      </c>
      <c r="D60">
        <v>22</v>
      </c>
      <c r="E60" s="264">
        <v>43344</v>
      </c>
    </row>
    <row r="61" spans="3:5" x14ac:dyDescent="0.3">
      <c r="C61">
        <v>6240232698</v>
      </c>
      <c r="D61">
        <v>22</v>
      </c>
      <c r="E61" s="264">
        <v>42370</v>
      </c>
    </row>
    <row r="62" spans="3:5" x14ac:dyDescent="0.3">
      <c r="C62">
        <v>6240233064</v>
      </c>
      <c r="D62">
        <v>22</v>
      </c>
      <c r="E62" s="264">
        <v>44197</v>
      </c>
    </row>
  </sheetData>
  <sheetProtection formatCells="0" formatColumns="0" formatRows="0"/>
  <mergeCells count="9">
    <mergeCell ref="K21:K40"/>
    <mergeCell ref="C26:G26"/>
    <mergeCell ref="C31:I31"/>
    <mergeCell ref="C32:D32"/>
    <mergeCell ref="C2:E2"/>
    <mergeCell ref="F2:G2"/>
    <mergeCell ref="H2:I2"/>
    <mergeCell ref="C8:D8"/>
    <mergeCell ref="G13:I13"/>
  </mergeCells>
  <pageMargins left="0.7" right="0.7" top="0.78740157499999996" bottom="0.78740157499999996" header="0.3" footer="0.3"/>
  <pageSetup paperSize="9"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8743-7D20-4410-8612-9ADA8B8CC2A5}">
  <sheetPr codeName="List6"/>
  <dimension ref="A1:C80"/>
  <sheetViews>
    <sheetView zoomScale="85" zoomScaleNormal="85" workbookViewId="0">
      <pane ySplit="2" topLeftCell="A3" activePane="bottomLeft" state="frozen"/>
      <selection activeCell="D29" sqref="D29:F29"/>
      <selection pane="bottomLeft" activeCell="D29" sqref="D29:F29"/>
    </sheetView>
  </sheetViews>
  <sheetFormatPr defaultColWidth="8.6640625" defaultRowHeight="14.4" x14ac:dyDescent="0.3"/>
  <cols>
    <col min="1" max="1" width="169.44140625" customWidth="1"/>
  </cols>
  <sheetData>
    <row r="1" spans="1:3" ht="16.8" x14ac:dyDescent="0.3">
      <c r="A1" s="246" t="s">
        <v>195</v>
      </c>
      <c r="C1" s="247" t="s">
        <v>196</v>
      </c>
    </row>
    <row r="2" spans="1:3" ht="16.8" x14ac:dyDescent="0.3">
      <c r="A2" s="248" t="s">
        <v>197</v>
      </c>
      <c r="C2" s="249" t="s">
        <v>198</v>
      </c>
    </row>
    <row r="3" spans="1:3" ht="16.8" x14ac:dyDescent="0.3">
      <c r="A3" s="248" t="s">
        <v>199</v>
      </c>
      <c r="C3" s="249" t="s">
        <v>200</v>
      </c>
    </row>
    <row r="4" spans="1:3" ht="16.8" x14ac:dyDescent="0.3">
      <c r="A4" s="248" t="s">
        <v>201</v>
      </c>
      <c r="C4" s="250" t="s">
        <v>202</v>
      </c>
    </row>
    <row r="5" spans="1:3" ht="16.8" x14ac:dyDescent="0.3">
      <c r="A5" s="248"/>
      <c r="C5" s="251" t="s">
        <v>203</v>
      </c>
    </row>
    <row r="6" spans="1:3" ht="16.8" x14ac:dyDescent="0.3">
      <c r="A6" s="246" t="s">
        <v>204</v>
      </c>
      <c r="C6" s="251" t="s">
        <v>205</v>
      </c>
    </row>
    <row r="7" spans="1:3" ht="16.8" x14ac:dyDescent="0.3">
      <c r="A7" s="252" t="s">
        <v>206</v>
      </c>
      <c r="C7" s="251" t="s">
        <v>207</v>
      </c>
    </row>
    <row r="8" spans="1:3" ht="16.8" x14ac:dyDescent="0.3">
      <c r="A8" s="253" t="s">
        <v>208</v>
      </c>
      <c r="C8" s="251" t="s">
        <v>209</v>
      </c>
    </row>
    <row r="9" spans="1:3" ht="16.8" x14ac:dyDescent="0.3">
      <c r="A9" s="253" t="s">
        <v>210</v>
      </c>
      <c r="C9" s="251" t="s">
        <v>211</v>
      </c>
    </row>
    <row r="10" spans="1:3" ht="33.6" x14ac:dyDescent="0.3">
      <c r="A10" s="254" t="s">
        <v>212</v>
      </c>
      <c r="C10" s="255" t="s">
        <v>213</v>
      </c>
    </row>
    <row r="11" spans="1:3" ht="33.6" x14ac:dyDescent="0.3">
      <c r="A11" s="256" t="s">
        <v>214</v>
      </c>
      <c r="C11" s="257" t="s">
        <v>215</v>
      </c>
    </row>
    <row r="12" spans="1:3" x14ac:dyDescent="0.3">
      <c r="C12" s="251" t="s">
        <v>216</v>
      </c>
    </row>
    <row r="13" spans="1:3" x14ac:dyDescent="0.3">
      <c r="C13" s="251" t="s">
        <v>217</v>
      </c>
    </row>
    <row r="14" spans="1:3" x14ac:dyDescent="0.3">
      <c r="C14" s="251" t="s">
        <v>218</v>
      </c>
    </row>
    <row r="15" spans="1:3" x14ac:dyDescent="0.3">
      <c r="C15" s="257" t="s">
        <v>219</v>
      </c>
    </row>
    <row r="16" spans="1:3" x14ac:dyDescent="0.3">
      <c r="C16" s="258" t="s">
        <v>220</v>
      </c>
    </row>
    <row r="17" spans="1:3" x14ac:dyDescent="0.3">
      <c r="C17" s="258" t="s">
        <v>221</v>
      </c>
    </row>
    <row r="27" spans="1:3" ht="16.8" x14ac:dyDescent="0.3">
      <c r="A27" s="248"/>
    </row>
    <row r="28" spans="1:3" ht="16.8" x14ac:dyDescent="0.3">
      <c r="A28" s="248"/>
    </row>
    <row r="29" spans="1:3" ht="16.8" x14ac:dyDescent="0.3">
      <c r="A29" s="248"/>
    </row>
    <row r="30" spans="1:3" ht="16.8" x14ac:dyDescent="0.3">
      <c r="A30" s="248"/>
    </row>
    <row r="31" spans="1:3" ht="16.8" x14ac:dyDescent="0.3">
      <c r="A31" s="248"/>
    </row>
    <row r="32" spans="1:3" ht="16.8" x14ac:dyDescent="0.3">
      <c r="A32" s="248"/>
    </row>
    <row r="33" spans="1:1" ht="16.8" x14ac:dyDescent="0.3">
      <c r="A33" s="248"/>
    </row>
    <row r="34" spans="1:1" ht="16.8" x14ac:dyDescent="0.3">
      <c r="A34" s="248"/>
    </row>
    <row r="35" spans="1:1" ht="16.8" x14ac:dyDescent="0.3">
      <c r="A35" s="248"/>
    </row>
    <row r="36" spans="1:1" ht="16.8" x14ac:dyDescent="0.3">
      <c r="A36" s="248"/>
    </row>
    <row r="37" spans="1:1" ht="16.8" x14ac:dyDescent="0.3">
      <c r="A37" s="248"/>
    </row>
    <row r="38" spans="1:1" ht="16.8" x14ac:dyDescent="0.3">
      <c r="A38" s="248"/>
    </row>
    <row r="39" spans="1:1" ht="16.8" x14ac:dyDescent="0.3">
      <c r="A39" s="248"/>
    </row>
    <row r="40" spans="1:1" ht="16.8" x14ac:dyDescent="0.3">
      <c r="A40" s="246" t="s">
        <v>222</v>
      </c>
    </row>
    <row r="41" spans="1:1" ht="16.8" x14ac:dyDescent="0.3">
      <c r="A41" s="248" t="s">
        <v>223</v>
      </c>
    </row>
    <row r="42" spans="1:1" ht="16.8" x14ac:dyDescent="0.3">
      <c r="A42" s="248" t="s">
        <v>224</v>
      </c>
    </row>
    <row r="44" spans="1:1" ht="16.8" x14ac:dyDescent="0.3">
      <c r="A44" s="248"/>
    </row>
    <row r="46" spans="1:1" ht="16.8" x14ac:dyDescent="0.3">
      <c r="A46" s="248"/>
    </row>
    <row r="48" spans="1:1" ht="16.8" x14ac:dyDescent="0.3">
      <c r="A48" s="248"/>
    </row>
    <row r="75" spans="2:2" ht="16.8" x14ac:dyDescent="0.3">
      <c r="B75" s="248" t="s">
        <v>225</v>
      </c>
    </row>
    <row r="76" spans="2:2" x14ac:dyDescent="0.3">
      <c r="B76" t="s">
        <v>226</v>
      </c>
    </row>
    <row r="77" spans="2:2" x14ac:dyDescent="0.3">
      <c r="B77" t="s">
        <v>227</v>
      </c>
    </row>
    <row r="78" spans="2:2" x14ac:dyDescent="0.3">
      <c r="B78" t="s">
        <v>228</v>
      </c>
    </row>
    <row r="79" spans="2:2" x14ac:dyDescent="0.3">
      <c r="B79" t="s">
        <v>229</v>
      </c>
    </row>
    <row r="80" spans="2:2" x14ac:dyDescent="0.3">
      <c r="B80" t="s">
        <v>230</v>
      </c>
    </row>
  </sheetData>
  <sheetProtection algorithmName="SHA-512" hashValue="FJKyjAN1SqdacYWLvvgfRQ6AWQDeurEAUWT8yFs4DG2RpV1F/Pu+2OMqdLOdCq+jORTLuj6ury/Z3ZphRUOnIg==" saltValue="Xw/MUbANIjJEM9Pmrx5R9g==" spinCount="100000" sheet="1" objects="1" scenarios="1"/>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vt:i4>
      </vt:variant>
    </vt:vector>
  </HeadingPairs>
  <TitlesOfParts>
    <vt:vector size="9" baseType="lpstr">
      <vt:lpstr>dodělat</vt:lpstr>
      <vt:lpstr>Výpočet ceny distribuce</vt:lpstr>
      <vt:lpstr>Kontrola</vt:lpstr>
      <vt:lpstr>Výpočet výše měsíční kapacity C</vt:lpstr>
      <vt:lpstr>ovládací prvky</vt:lpstr>
      <vt:lpstr>Klasik, CNG, M3R, výrobce</vt:lpstr>
      <vt:lpstr>Špičkový odběr </vt:lpstr>
      <vt:lpstr>popis k nadlimitu</vt:lpstr>
      <vt:lpstr>'popis k nadlimitu'!_Hlk89075508</vt:lpstr>
    </vt:vector>
  </TitlesOfParts>
  <Company>RWE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Nepovolný Tomáš</dc:creator>
  <cp:lastModifiedBy>Šanovcová Kamila</cp:lastModifiedBy>
  <cp:lastPrinted>2013-04-26T11:53:38Z</cp:lastPrinted>
  <dcterms:created xsi:type="dcterms:W3CDTF">2012-08-24T06:28:25Z</dcterms:created>
  <dcterms:modified xsi:type="dcterms:W3CDTF">2025-12-11T11:31:28Z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Kalkulacka_VOSO_2013_KB.xls</vt:lpwstr>
  </property>
</Properties>
</file>